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8_{F19AD2CB-BB64-4C03-B123-2645CD48A4A3}" xr6:coauthVersionLast="47" xr6:coauthVersionMax="47" xr10:uidLastSave="{00000000-0000-0000-0000-000000000000}"/>
  <bookViews>
    <workbookView xWindow="744" yWindow="348" windowWidth="22656" windowHeight="12360" xr2:uid="{00000000-000D-0000-FFFF-FFFF00000000}"/>
  </bookViews>
  <sheets>
    <sheet name="Calendario de trabajo por turno" sheetId="1" r:id="rId1"/>
    <sheet name="Trabajos y turnos" sheetId="3" r:id="rId2"/>
  </sheets>
  <definedNames>
    <definedName name="AbrDom1">DATE(AñoCalendario,4,1)-WEEKDAY(DATE(AñoCalendario,4,1))</definedName>
    <definedName name="AgoDom1">DATE(AñoCalendario,8,1)-WEEKDAY(DATE(AñoCalendario,8,1))</definedName>
    <definedName name="AñoCalendario">'Calendario de trabajo por turno'!$AH$1</definedName>
    <definedName name="DicDom1">DATE(AñoCalendario,12,1)-WEEKDAY(DATE(AñoCalendario,12,1))</definedName>
    <definedName name="EneDom1">DATE(AñoCalendario,1,1)-WEEKDAY(DATE(AñoCalendario,1,1))</definedName>
    <definedName name="FebDom1">DATE(AñoCalendario,2,1)-WEEKDAY(DATE(AñoCalendario,2,1))</definedName>
    <definedName name="JulDom1">DATE(AñoCalendario,7,1)-WEEKDAY(DATE(AñoCalendario,7,1))</definedName>
    <definedName name="JunDom1">DATE(AñoCalendario,6,1)-WEEKDAY(DATE(AñoCalendario,6,1))</definedName>
    <definedName name="MarDom1">DATE(AñoCalendario,3,1)-WEEKDAY(DATE(AñoCalendario,3,1))</definedName>
    <definedName name="MayDom1">DATE(AñoCalendario,5,1)-WEEKDAY(DATE(AñoCalendario,5,1))</definedName>
    <definedName name="NovDom1">DATE(AñoCalendario,11,1)-WEEKDAY(DATE(AñoCalendario,11,1))</definedName>
    <definedName name="OctDom1">DATE(AñoCalendario,10,1)-WEEKDAY(DATE(AñoCalendario,10,1))</definedName>
    <definedName name="SepDom1">DATE(AñoCalendario,9,1)-WEEKDAY(DATE(AñoCalendario,9,1))</definedName>
    <definedName name="Trabajo1_Código_DíaLibre">'Trabajos y turnos'!$D$19</definedName>
    <definedName name="Trabajo1_DíaInicio">'Trabajos y turnos'!$D$21</definedName>
    <definedName name="Trabajo1_Nombre">'Trabajos y turnos'!$D$5</definedName>
    <definedName name="Trabajo1_Patrón">'Trabajos y turnos'!$D$22</definedName>
    <definedName name="Trabajo1_Turno1_Código">'Trabajos y turnos'!$D$8</definedName>
    <definedName name="Trabajo1_Turno2_Código">'Trabajos y turnos'!$D$12</definedName>
    <definedName name="Trabajo1_Turno3_Código">'Trabajos y turnos'!$D$16</definedName>
    <definedName name="Trabajo2_Código_DíaLibre">'Trabajos y turnos'!$E$19</definedName>
    <definedName name="Trabajo2_DíaInicio">'Trabajos y turnos'!$E$21</definedName>
    <definedName name="Trabajo2_Nombre">'Trabajos y turnos'!$E$5</definedName>
    <definedName name="Trabajo2_Patrón">'Trabajos y turnos'!$E$22</definedName>
    <definedName name="Trabajo2_Turno1_Código">'Trabajos y turnos'!$E$8</definedName>
    <definedName name="Trabajo2_Turno2_Código">'Trabajos y turnos'!$E$12</definedName>
    <definedName name="Trabajo2_Turno3_Código">'Trabajos y turnos'!$E$16</definedName>
    <definedName name="Trabajo3_Código_DíaLibre">'Trabajos y turnos'!$F$19</definedName>
    <definedName name="Trabajo3_DíaInicio">'Trabajos y turnos'!$F$21</definedName>
    <definedName name="Trabajo3_Nombre">'Trabajos y turnos'!$F$5</definedName>
    <definedName name="Trabajo3_Patrón">'Trabajos y turnos'!$F$22</definedName>
    <definedName name="Trabajo3_Turno1_Código">'Trabajos y turnos'!$F$8</definedName>
    <definedName name="Trabajo3_Turno2_Código">'Trabajos y turnos'!$F$12</definedName>
    <definedName name="Trabajo3_Turno3_Código">'Trabajos y turnos'!$F$16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71" i="1" l="1" a="1"/>
  <c r="AM71" i="1" s="1"/>
  <c r="AL71" i="1" a="1"/>
  <c r="AL71" i="1" s="1"/>
  <c r="AK71" i="1" a="1"/>
  <c r="AK71" i="1" s="1"/>
  <c r="AJ71" i="1" a="1"/>
  <c r="AJ71" i="1" s="1"/>
  <c r="AI71" i="1" a="1"/>
  <c r="AI71" i="1" s="1"/>
  <c r="AH71" i="1" a="1"/>
  <c r="AH71" i="1" s="1"/>
  <c r="AG71" i="1" a="1"/>
  <c r="AG71" i="1" s="1"/>
  <c r="AF71" i="1" a="1"/>
  <c r="AF71" i="1" s="1"/>
  <c r="AE71" i="1" a="1"/>
  <c r="AE71" i="1" s="1"/>
  <c r="AD71" i="1" a="1"/>
  <c r="AD71" i="1" s="1"/>
  <c r="AC71" i="1" a="1"/>
  <c r="AC71" i="1" s="1"/>
  <c r="AB71" i="1" a="1"/>
  <c r="AB71" i="1" s="1"/>
  <c r="AA71" i="1" a="1"/>
  <c r="AA71" i="1" s="1"/>
  <c r="Z71" i="1" a="1"/>
  <c r="Z71" i="1" s="1"/>
  <c r="Y71" i="1" a="1"/>
  <c r="Y71" i="1" s="1"/>
  <c r="X71" i="1" a="1"/>
  <c r="X71" i="1" s="1"/>
  <c r="W71" i="1" a="1"/>
  <c r="W71" i="1" s="1"/>
  <c r="V71" i="1" a="1"/>
  <c r="V71" i="1" s="1"/>
  <c r="U71" i="1" a="1"/>
  <c r="U71" i="1" s="1"/>
  <c r="T71" i="1" a="1"/>
  <c r="T71" i="1" s="1"/>
  <c r="S71" i="1" a="1"/>
  <c r="S71" i="1" s="1"/>
  <c r="R71" i="1" a="1"/>
  <c r="R71" i="1" s="1"/>
  <c r="Q71" i="1" a="1"/>
  <c r="Q71" i="1" s="1"/>
  <c r="P71" i="1" a="1"/>
  <c r="P71" i="1" s="1"/>
  <c r="O71" i="1" a="1"/>
  <c r="O71" i="1" s="1"/>
  <c r="N71" i="1" a="1"/>
  <c r="N71" i="1" s="1"/>
  <c r="M71" i="1" a="1"/>
  <c r="M71" i="1" s="1"/>
  <c r="L71" i="1" a="1"/>
  <c r="L71" i="1" s="1"/>
  <c r="K71" i="1" a="1"/>
  <c r="K71" i="1" s="1"/>
  <c r="J71" i="1" a="1"/>
  <c r="J71" i="1" s="1"/>
  <c r="I71" i="1" a="1"/>
  <c r="I71" i="1" s="1"/>
  <c r="H71" i="1" a="1"/>
  <c r="H71" i="1" s="1"/>
  <c r="G71" i="1" a="1"/>
  <c r="G71" i="1" s="1"/>
  <c r="F71" i="1" a="1"/>
  <c r="F71" i="1" s="1"/>
  <c r="E71" i="1" a="1"/>
  <c r="E71" i="1" s="1"/>
  <c r="D71" i="1" a="1"/>
  <c r="D71" i="1" s="1"/>
  <c r="C71" i="1" a="1"/>
  <c r="C71" i="1" s="1"/>
  <c r="AM65" i="1" a="1"/>
  <c r="AM65" i="1" s="1"/>
  <c r="AL65" i="1" a="1"/>
  <c r="AL65" i="1" s="1"/>
  <c r="AK65" i="1" a="1"/>
  <c r="AK65" i="1" s="1"/>
  <c r="AJ65" i="1" a="1"/>
  <c r="AJ65" i="1" s="1"/>
  <c r="AI65" i="1" a="1"/>
  <c r="AI65" i="1" s="1"/>
  <c r="AH65" i="1" a="1"/>
  <c r="AH65" i="1" s="1"/>
  <c r="AG65" i="1" a="1"/>
  <c r="AG65" i="1" s="1"/>
  <c r="AF65" i="1" a="1"/>
  <c r="AF65" i="1" s="1"/>
  <c r="AE65" i="1" a="1"/>
  <c r="AE65" i="1" s="1"/>
  <c r="AD65" i="1" a="1"/>
  <c r="AD65" i="1" s="1"/>
  <c r="AC65" i="1" a="1"/>
  <c r="AC65" i="1" s="1"/>
  <c r="AB65" i="1" a="1"/>
  <c r="AB65" i="1" s="1"/>
  <c r="AA65" i="1" a="1"/>
  <c r="AA65" i="1" s="1"/>
  <c r="Z65" i="1" a="1"/>
  <c r="Z65" i="1" s="1"/>
  <c r="Y65" i="1" a="1"/>
  <c r="Y65" i="1" s="1"/>
  <c r="X65" i="1" a="1"/>
  <c r="X65" i="1" s="1"/>
  <c r="W65" i="1" a="1"/>
  <c r="W65" i="1" s="1"/>
  <c r="V65" i="1" a="1"/>
  <c r="V65" i="1" s="1"/>
  <c r="U65" i="1" a="1"/>
  <c r="U65" i="1" s="1"/>
  <c r="T65" i="1" a="1"/>
  <c r="T65" i="1" s="1"/>
  <c r="S65" i="1" a="1"/>
  <c r="S65" i="1" s="1"/>
  <c r="R65" i="1" a="1"/>
  <c r="R65" i="1" s="1"/>
  <c r="Q65" i="1" a="1"/>
  <c r="Q65" i="1" s="1"/>
  <c r="P65" i="1" a="1"/>
  <c r="P65" i="1" s="1"/>
  <c r="O65" i="1" a="1"/>
  <c r="O65" i="1" s="1"/>
  <c r="N65" i="1" a="1"/>
  <c r="N65" i="1" s="1"/>
  <c r="M65" i="1" a="1"/>
  <c r="M65" i="1" s="1"/>
  <c r="L65" i="1" a="1"/>
  <c r="L65" i="1" s="1"/>
  <c r="K65" i="1" a="1"/>
  <c r="K65" i="1" s="1"/>
  <c r="J65" i="1" a="1"/>
  <c r="J65" i="1" s="1"/>
  <c r="I65" i="1" a="1"/>
  <c r="I65" i="1" s="1"/>
  <c r="H65" i="1" a="1"/>
  <c r="H65" i="1" s="1"/>
  <c r="G65" i="1" a="1"/>
  <c r="G65" i="1" s="1"/>
  <c r="F65" i="1" a="1"/>
  <c r="F65" i="1" s="1"/>
  <c r="E65" i="1" a="1"/>
  <c r="E65" i="1" s="1"/>
  <c r="D65" i="1" a="1"/>
  <c r="D65" i="1" s="1"/>
  <c r="C65" i="1" a="1"/>
  <c r="C65" i="1" s="1"/>
  <c r="AM59" i="1" a="1"/>
  <c r="AM59" i="1" s="1"/>
  <c r="AL59" i="1" a="1"/>
  <c r="AL59" i="1" s="1"/>
  <c r="AK59" i="1" a="1"/>
  <c r="AK59" i="1" s="1"/>
  <c r="AJ59" i="1" a="1"/>
  <c r="AJ59" i="1" s="1"/>
  <c r="AI59" i="1" a="1"/>
  <c r="AI59" i="1" s="1"/>
  <c r="AH59" i="1" a="1"/>
  <c r="AH59" i="1" s="1"/>
  <c r="AG59" i="1" a="1"/>
  <c r="AG59" i="1" s="1"/>
  <c r="AF59" i="1" a="1"/>
  <c r="AF59" i="1" s="1"/>
  <c r="AE59" i="1" a="1"/>
  <c r="AE59" i="1" s="1"/>
  <c r="AD59" i="1" a="1"/>
  <c r="AD59" i="1" s="1"/>
  <c r="AC59" i="1" a="1"/>
  <c r="AC59" i="1" s="1"/>
  <c r="AB59" i="1" a="1"/>
  <c r="AB59" i="1" s="1"/>
  <c r="AA59" i="1" a="1"/>
  <c r="AA59" i="1" s="1"/>
  <c r="Z59" i="1" a="1"/>
  <c r="Z59" i="1" s="1"/>
  <c r="Y59" i="1" a="1"/>
  <c r="Y59" i="1" s="1"/>
  <c r="X59" i="1" a="1"/>
  <c r="X59" i="1" s="1"/>
  <c r="W59" i="1" a="1"/>
  <c r="W59" i="1" s="1"/>
  <c r="V59" i="1" a="1"/>
  <c r="V59" i="1" s="1"/>
  <c r="U59" i="1" a="1"/>
  <c r="U59" i="1" s="1"/>
  <c r="T59" i="1" a="1"/>
  <c r="T59" i="1" s="1"/>
  <c r="S59" i="1" a="1"/>
  <c r="S59" i="1" s="1"/>
  <c r="R59" i="1" a="1"/>
  <c r="R59" i="1" s="1"/>
  <c r="Q59" i="1" a="1"/>
  <c r="Q59" i="1" s="1"/>
  <c r="P59" i="1" a="1"/>
  <c r="P59" i="1" s="1"/>
  <c r="O59" i="1" a="1"/>
  <c r="O59" i="1" s="1"/>
  <c r="N59" i="1" a="1"/>
  <c r="N59" i="1" s="1"/>
  <c r="M59" i="1" a="1"/>
  <c r="M59" i="1" s="1"/>
  <c r="L59" i="1" a="1"/>
  <c r="L59" i="1" s="1"/>
  <c r="K59" i="1" a="1"/>
  <c r="K59" i="1" s="1"/>
  <c r="J59" i="1" a="1"/>
  <c r="J59" i="1" s="1"/>
  <c r="I59" i="1" a="1"/>
  <c r="I59" i="1" s="1"/>
  <c r="H59" i="1" a="1"/>
  <c r="H59" i="1" s="1"/>
  <c r="G59" i="1" a="1"/>
  <c r="G59" i="1" s="1"/>
  <c r="F59" i="1" a="1"/>
  <c r="F59" i="1" s="1"/>
  <c r="E59" i="1" a="1"/>
  <c r="E59" i="1" s="1"/>
  <c r="D59" i="1" a="1"/>
  <c r="D59" i="1" s="1"/>
  <c r="C59" i="1" a="1"/>
  <c r="C59" i="1" s="1"/>
  <c r="AM53" i="1" a="1"/>
  <c r="AM53" i="1" s="1"/>
  <c r="AL53" i="1" a="1"/>
  <c r="AL53" i="1" s="1"/>
  <c r="AK53" i="1" a="1"/>
  <c r="AK53" i="1" s="1"/>
  <c r="AJ53" i="1" a="1"/>
  <c r="AJ53" i="1" s="1"/>
  <c r="AI53" i="1" a="1"/>
  <c r="AI53" i="1" s="1"/>
  <c r="AH53" i="1" a="1"/>
  <c r="AH53" i="1" s="1"/>
  <c r="AG53" i="1" a="1"/>
  <c r="AG53" i="1" s="1"/>
  <c r="AF53" i="1" a="1"/>
  <c r="AF53" i="1" s="1"/>
  <c r="AE53" i="1" a="1"/>
  <c r="AE53" i="1" s="1"/>
  <c r="AD53" i="1" a="1"/>
  <c r="AD53" i="1" s="1"/>
  <c r="AC53" i="1" a="1"/>
  <c r="AC53" i="1" s="1"/>
  <c r="AB53" i="1" a="1"/>
  <c r="AB53" i="1" s="1"/>
  <c r="AA53" i="1" a="1"/>
  <c r="AA53" i="1" s="1"/>
  <c r="Z53" i="1" a="1"/>
  <c r="Z53" i="1" s="1"/>
  <c r="Y53" i="1" a="1"/>
  <c r="Y53" i="1" s="1"/>
  <c r="X53" i="1" a="1"/>
  <c r="X53" i="1" s="1"/>
  <c r="W53" i="1" a="1"/>
  <c r="W53" i="1" s="1"/>
  <c r="V53" i="1" a="1"/>
  <c r="V53" i="1" s="1"/>
  <c r="U53" i="1" a="1"/>
  <c r="U53" i="1" s="1"/>
  <c r="T53" i="1" a="1"/>
  <c r="T53" i="1" s="1"/>
  <c r="S53" i="1" a="1"/>
  <c r="S53" i="1" s="1"/>
  <c r="R53" i="1" a="1"/>
  <c r="R53" i="1" s="1"/>
  <c r="Q53" i="1" a="1"/>
  <c r="Q53" i="1" s="1"/>
  <c r="P53" i="1" a="1"/>
  <c r="P53" i="1" s="1"/>
  <c r="O53" i="1" a="1"/>
  <c r="O53" i="1" s="1"/>
  <c r="N53" i="1" a="1"/>
  <c r="N53" i="1" s="1"/>
  <c r="M53" i="1" a="1"/>
  <c r="M53" i="1" s="1"/>
  <c r="L53" i="1" a="1"/>
  <c r="L53" i="1" s="1"/>
  <c r="K53" i="1" a="1"/>
  <c r="K53" i="1" s="1"/>
  <c r="J53" i="1" a="1"/>
  <c r="J53" i="1" s="1"/>
  <c r="I53" i="1" a="1"/>
  <c r="I53" i="1" s="1"/>
  <c r="H53" i="1" a="1"/>
  <c r="H53" i="1" s="1"/>
  <c r="G53" i="1" a="1"/>
  <c r="G53" i="1" s="1"/>
  <c r="F53" i="1" a="1"/>
  <c r="F53" i="1" s="1"/>
  <c r="E53" i="1" a="1"/>
  <c r="E53" i="1" s="1"/>
  <c r="D53" i="1" a="1"/>
  <c r="D53" i="1" s="1"/>
  <c r="C53" i="1" a="1"/>
  <c r="C53" i="1" s="1"/>
  <c r="AM47" i="1" a="1"/>
  <c r="AM47" i="1" s="1"/>
  <c r="AL47" i="1" a="1"/>
  <c r="AL47" i="1" s="1"/>
  <c r="AK47" i="1" a="1"/>
  <c r="AK47" i="1" s="1"/>
  <c r="AJ47" i="1" a="1"/>
  <c r="AJ47" i="1" s="1"/>
  <c r="AI47" i="1" a="1"/>
  <c r="AI47" i="1" s="1"/>
  <c r="AH47" i="1" a="1"/>
  <c r="AH47" i="1" s="1"/>
  <c r="AG47" i="1" a="1"/>
  <c r="AG47" i="1" s="1"/>
  <c r="AF47" i="1" a="1"/>
  <c r="AF47" i="1" s="1"/>
  <c r="AE47" i="1" a="1"/>
  <c r="AE47" i="1" s="1"/>
  <c r="AD47" i="1" a="1"/>
  <c r="AD47" i="1" s="1"/>
  <c r="AC47" i="1" a="1"/>
  <c r="AC47" i="1" s="1"/>
  <c r="AB47" i="1" a="1"/>
  <c r="AB47" i="1" s="1"/>
  <c r="AA47" i="1" a="1"/>
  <c r="AA47" i="1" s="1"/>
  <c r="Z47" i="1" a="1"/>
  <c r="Z47" i="1" s="1"/>
  <c r="Y47" i="1" a="1"/>
  <c r="Y47" i="1" s="1"/>
  <c r="X47" i="1" a="1"/>
  <c r="X47" i="1" s="1"/>
  <c r="W47" i="1" a="1"/>
  <c r="W47" i="1" s="1"/>
  <c r="V47" i="1" a="1"/>
  <c r="V47" i="1" s="1"/>
  <c r="U47" i="1" a="1"/>
  <c r="U47" i="1" s="1"/>
  <c r="T47" i="1" a="1"/>
  <c r="T47" i="1" s="1"/>
  <c r="S47" i="1" a="1"/>
  <c r="S47" i="1" s="1"/>
  <c r="R47" i="1" a="1"/>
  <c r="R47" i="1" s="1"/>
  <c r="Q47" i="1" a="1"/>
  <c r="Q47" i="1" s="1"/>
  <c r="P47" i="1" a="1"/>
  <c r="P47" i="1" s="1"/>
  <c r="O47" i="1" a="1"/>
  <c r="O47" i="1" s="1"/>
  <c r="N47" i="1" a="1"/>
  <c r="N47" i="1" s="1"/>
  <c r="M47" i="1" a="1"/>
  <c r="M47" i="1" s="1"/>
  <c r="L47" i="1" a="1"/>
  <c r="L47" i="1" s="1"/>
  <c r="K47" i="1" a="1"/>
  <c r="K47" i="1" s="1"/>
  <c r="J47" i="1" a="1"/>
  <c r="J47" i="1" s="1"/>
  <c r="I47" i="1" a="1"/>
  <c r="I47" i="1" s="1"/>
  <c r="H47" i="1" a="1"/>
  <c r="H47" i="1" s="1"/>
  <c r="G47" i="1" a="1"/>
  <c r="G47" i="1" s="1"/>
  <c r="F47" i="1" a="1"/>
  <c r="F47" i="1" s="1"/>
  <c r="E47" i="1" a="1"/>
  <c r="E47" i="1" s="1"/>
  <c r="D47" i="1" a="1"/>
  <c r="D47" i="1" s="1"/>
  <c r="C47" i="1" a="1"/>
  <c r="C47" i="1" s="1"/>
  <c r="AM41" i="1" a="1"/>
  <c r="AM41" i="1" s="1"/>
  <c r="AL41" i="1" a="1"/>
  <c r="AL41" i="1" s="1"/>
  <c r="AK41" i="1" a="1"/>
  <c r="AK41" i="1" s="1"/>
  <c r="AJ41" i="1" a="1"/>
  <c r="AJ41" i="1" s="1"/>
  <c r="AI41" i="1" a="1"/>
  <c r="AI41" i="1" s="1"/>
  <c r="AH41" i="1" a="1"/>
  <c r="AH41" i="1" s="1"/>
  <c r="AG41" i="1" a="1"/>
  <c r="AG41" i="1" s="1"/>
  <c r="AF41" i="1" a="1"/>
  <c r="AF41" i="1" s="1"/>
  <c r="AE41" i="1" a="1"/>
  <c r="AE41" i="1" s="1"/>
  <c r="AD41" i="1" a="1"/>
  <c r="AD41" i="1" s="1"/>
  <c r="AC41" i="1" a="1"/>
  <c r="AC41" i="1" s="1"/>
  <c r="AB41" i="1" a="1"/>
  <c r="AB41" i="1" s="1"/>
  <c r="AA41" i="1" a="1"/>
  <c r="AA41" i="1" s="1"/>
  <c r="Z41" i="1" a="1"/>
  <c r="Z41" i="1" s="1"/>
  <c r="Y41" i="1" a="1"/>
  <c r="Y41" i="1" s="1"/>
  <c r="X41" i="1" a="1"/>
  <c r="X41" i="1" s="1"/>
  <c r="W41" i="1" a="1"/>
  <c r="W41" i="1" s="1"/>
  <c r="V41" i="1" a="1"/>
  <c r="V41" i="1" s="1"/>
  <c r="U41" i="1" a="1"/>
  <c r="U41" i="1" s="1"/>
  <c r="T41" i="1" a="1"/>
  <c r="T41" i="1" s="1"/>
  <c r="S41" i="1" a="1"/>
  <c r="S41" i="1" s="1"/>
  <c r="R41" i="1" a="1"/>
  <c r="R41" i="1" s="1"/>
  <c r="Q41" i="1" a="1"/>
  <c r="Q41" i="1" s="1"/>
  <c r="P41" i="1" a="1"/>
  <c r="P41" i="1" s="1"/>
  <c r="O41" i="1" a="1"/>
  <c r="O41" i="1" s="1"/>
  <c r="N41" i="1" a="1"/>
  <c r="N41" i="1" s="1"/>
  <c r="M41" i="1" a="1"/>
  <c r="M41" i="1" s="1"/>
  <c r="L41" i="1" a="1"/>
  <c r="L41" i="1" s="1"/>
  <c r="K41" i="1" a="1"/>
  <c r="K41" i="1" s="1"/>
  <c r="J41" i="1" a="1"/>
  <c r="J41" i="1" s="1"/>
  <c r="I41" i="1" a="1"/>
  <c r="I41" i="1" s="1"/>
  <c r="H41" i="1" a="1"/>
  <c r="H41" i="1" s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AM35" i="1" a="1"/>
  <c r="AM35" i="1" s="1"/>
  <c r="AL35" i="1" a="1"/>
  <c r="AL35" i="1" s="1"/>
  <c r="AK35" i="1" a="1"/>
  <c r="AK35" i="1" s="1"/>
  <c r="AJ35" i="1" a="1"/>
  <c r="AJ35" i="1" s="1"/>
  <c r="AI35" i="1" a="1"/>
  <c r="AI35" i="1" s="1"/>
  <c r="AH35" i="1" a="1"/>
  <c r="AH35" i="1" s="1"/>
  <c r="AG35" i="1" a="1"/>
  <c r="AG35" i="1" s="1"/>
  <c r="AF35" i="1" a="1"/>
  <c r="AF35" i="1" s="1"/>
  <c r="AE35" i="1" a="1"/>
  <c r="AE35" i="1" s="1"/>
  <c r="AD35" i="1" a="1"/>
  <c r="AD35" i="1" s="1"/>
  <c r="AC35" i="1" a="1"/>
  <c r="AC35" i="1" s="1"/>
  <c r="AB35" i="1" a="1"/>
  <c r="AB35" i="1" s="1"/>
  <c r="AA35" i="1" a="1"/>
  <c r="AA35" i="1" s="1"/>
  <c r="Z35" i="1" a="1"/>
  <c r="Z35" i="1" s="1"/>
  <c r="Y35" i="1" a="1"/>
  <c r="Y35" i="1" s="1"/>
  <c r="X35" i="1" a="1"/>
  <c r="X35" i="1" s="1"/>
  <c r="W35" i="1" a="1"/>
  <c r="W35" i="1" s="1"/>
  <c r="V35" i="1" a="1"/>
  <c r="V35" i="1" s="1"/>
  <c r="U35" i="1" a="1"/>
  <c r="U35" i="1" s="1"/>
  <c r="T35" i="1" a="1"/>
  <c r="T35" i="1" s="1"/>
  <c r="S35" i="1" a="1"/>
  <c r="S35" i="1" s="1"/>
  <c r="R35" i="1" a="1"/>
  <c r="R35" i="1" s="1"/>
  <c r="Q35" i="1" a="1"/>
  <c r="Q35" i="1" s="1"/>
  <c r="P35" i="1" a="1"/>
  <c r="P35" i="1" s="1"/>
  <c r="O35" i="1" a="1"/>
  <c r="O35" i="1" s="1"/>
  <c r="N35" i="1" a="1"/>
  <c r="N35" i="1" s="1"/>
  <c r="M35" i="1" a="1"/>
  <c r="M35" i="1" s="1"/>
  <c r="L35" i="1" a="1"/>
  <c r="L35" i="1" s="1"/>
  <c r="K35" i="1" a="1"/>
  <c r="K35" i="1" s="1"/>
  <c r="J35" i="1" a="1"/>
  <c r="J35" i="1" s="1"/>
  <c r="I35" i="1" a="1"/>
  <c r="I35" i="1" s="1"/>
  <c r="H35" i="1" a="1"/>
  <c r="H35" i="1" s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AM29" i="1" a="1"/>
  <c r="AM29" i="1" s="1"/>
  <c r="AL29" i="1" a="1"/>
  <c r="AL29" i="1" s="1"/>
  <c r="AK29" i="1" a="1"/>
  <c r="AK29" i="1" s="1"/>
  <c r="AJ29" i="1" a="1"/>
  <c r="AJ29" i="1" s="1"/>
  <c r="AI29" i="1" a="1"/>
  <c r="AI29" i="1" s="1"/>
  <c r="AH29" i="1" a="1"/>
  <c r="AH29" i="1" s="1"/>
  <c r="AG29" i="1" a="1"/>
  <c r="AG29" i="1" s="1"/>
  <c r="AF29" i="1" a="1"/>
  <c r="AF29" i="1" s="1"/>
  <c r="AE29" i="1" a="1"/>
  <c r="AE29" i="1" s="1"/>
  <c r="AD29" i="1" a="1"/>
  <c r="AD29" i="1" s="1"/>
  <c r="AC29" i="1" a="1"/>
  <c r="AC29" i="1" s="1"/>
  <c r="AB29" i="1" a="1"/>
  <c r="AB29" i="1" s="1"/>
  <c r="AA29" i="1" a="1"/>
  <c r="AA29" i="1" s="1"/>
  <c r="Z29" i="1" a="1"/>
  <c r="Z29" i="1" s="1"/>
  <c r="Y29" i="1" a="1"/>
  <c r="Y29" i="1" s="1"/>
  <c r="X29" i="1" a="1"/>
  <c r="X29" i="1" s="1"/>
  <c r="W29" i="1" a="1"/>
  <c r="W29" i="1" s="1"/>
  <c r="V29" i="1" a="1"/>
  <c r="V29" i="1" s="1"/>
  <c r="U29" i="1" a="1"/>
  <c r="U29" i="1" s="1"/>
  <c r="T29" i="1" a="1"/>
  <c r="T29" i="1" s="1"/>
  <c r="S29" i="1" a="1"/>
  <c r="S29" i="1" s="1"/>
  <c r="R29" i="1" a="1"/>
  <c r="R29" i="1" s="1"/>
  <c r="Q29" i="1" a="1"/>
  <c r="Q29" i="1" s="1"/>
  <c r="P29" i="1" a="1"/>
  <c r="P29" i="1" s="1"/>
  <c r="O29" i="1" a="1"/>
  <c r="O29" i="1" s="1"/>
  <c r="N29" i="1" a="1"/>
  <c r="N29" i="1" s="1"/>
  <c r="M29" i="1" a="1"/>
  <c r="M29" i="1" s="1"/>
  <c r="L29" i="1" a="1"/>
  <c r="L29" i="1" s="1"/>
  <c r="K29" i="1" a="1"/>
  <c r="K29" i="1" s="1"/>
  <c r="J29" i="1" a="1"/>
  <c r="J29" i="1" s="1"/>
  <c r="I29" i="1" a="1"/>
  <c r="I29" i="1" s="1"/>
  <c r="H29" i="1" a="1"/>
  <c r="H29" i="1" s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AM23" i="1" a="1"/>
  <c r="AM23" i="1" s="1"/>
  <c r="AL23" i="1" a="1"/>
  <c r="AL23" i="1" s="1"/>
  <c r="AK23" i="1" a="1"/>
  <c r="AK23" i="1" s="1"/>
  <c r="AJ23" i="1" a="1"/>
  <c r="AJ23" i="1" s="1"/>
  <c r="AI23" i="1" a="1"/>
  <c r="AI23" i="1" s="1"/>
  <c r="AH23" i="1" a="1"/>
  <c r="AH23" i="1" s="1"/>
  <c r="AG23" i="1" a="1"/>
  <c r="AG23" i="1" s="1"/>
  <c r="AF23" i="1" a="1"/>
  <c r="AF23" i="1" s="1"/>
  <c r="AE23" i="1" a="1"/>
  <c r="AE23" i="1" s="1"/>
  <c r="AD23" i="1" a="1"/>
  <c r="AD23" i="1" s="1"/>
  <c r="AC23" i="1" a="1"/>
  <c r="AC23" i="1" s="1"/>
  <c r="AB23" i="1" a="1"/>
  <c r="AB23" i="1" s="1"/>
  <c r="AA23" i="1" a="1"/>
  <c r="AA23" i="1" s="1"/>
  <c r="Z23" i="1" a="1"/>
  <c r="Z23" i="1" s="1"/>
  <c r="Y23" i="1" a="1"/>
  <c r="Y23" i="1" s="1"/>
  <c r="X23" i="1" a="1"/>
  <c r="X23" i="1" s="1"/>
  <c r="W23" i="1" a="1"/>
  <c r="W23" i="1" s="1"/>
  <c r="V23" i="1" a="1"/>
  <c r="V23" i="1" s="1"/>
  <c r="U23" i="1" a="1"/>
  <c r="U23" i="1" s="1"/>
  <c r="T23" i="1" a="1"/>
  <c r="T23" i="1" s="1"/>
  <c r="S23" i="1" a="1"/>
  <c r="S23" i="1" s="1"/>
  <c r="R23" i="1" a="1"/>
  <c r="R23" i="1" s="1"/>
  <c r="Q23" i="1" a="1"/>
  <c r="Q23" i="1" s="1"/>
  <c r="P23" i="1" a="1"/>
  <c r="P23" i="1" s="1"/>
  <c r="O23" i="1" a="1"/>
  <c r="O23" i="1" s="1"/>
  <c r="N23" i="1" a="1"/>
  <c r="N23" i="1" s="1"/>
  <c r="M23" i="1" a="1"/>
  <c r="M23" i="1" s="1"/>
  <c r="L23" i="1" a="1"/>
  <c r="L23" i="1" s="1"/>
  <c r="K23" i="1" a="1"/>
  <c r="K23" i="1" s="1"/>
  <c r="J23" i="1" a="1"/>
  <c r="J23" i="1" s="1"/>
  <c r="I23" i="1" a="1"/>
  <c r="I23" i="1" s="1"/>
  <c r="H23" i="1" a="1"/>
  <c r="H23" i="1" s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AM17" i="1" a="1"/>
  <c r="AM17" i="1" s="1"/>
  <c r="AL17" i="1" a="1"/>
  <c r="AL17" i="1" s="1"/>
  <c r="AK17" i="1" a="1"/>
  <c r="AK17" i="1" s="1"/>
  <c r="AJ17" i="1" a="1"/>
  <c r="AJ17" i="1" s="1"/>
  <c r="AI17" i="1" a="1"/>
  <c r="AI17" i="1" s="1"/>
  <c r="AH17" i="1" a="1"/>
  <c r="AH17" i="1" s="1"/>
  <c r="AG17" i="1" a="1"/>
  <c r="AG17" i="1" s="1"/>
  <c r="AF17" i="1" a="1"/>
  <c r="AF17" i="1" s="1"/>
  <c r="AE17" i="1" a="1"/>
  <c r="AE17" i="1" s="1"/>
  <c r="AD17" i="1" a="1"/>
  <c r="AD17" i="1" s="1"/>
  <c r="AC17" i="1" a="1"/>
  <c r="AC17" i="1" s="1"/>
  <c r="AB17" i="1" a="1"/>
  <c r="AB17" i="1" s="1"/>
  <c r="AA17" i="1" a="1"/>
  <c r="AA17" i="1" s="1"/>
  <c r="Z17" i="1" a="1"/>
  <c r="Z17" i="1" s="1"/>
  <c r="Y17" i="1" a="1"/>
  <c r="Y17" i="1" s="1"/>
  <c r="X17" i="1" a="1"/>
  <c r="X17" i="1" s="1"/>
  <c r="W17" i="1" a="1"/>
  <c r="W17" i="1" s="1"/>
  <c r="V17" i="1" a="1"/>
  <c r="V17" i="1" s="1"/>
  <c r="U17" i="1" a="1"/>
  <c r="U17" i="1" s="1"/>
  <c r="T17" i="1" a="1"/>
  <c r="T17" i="1" s="1"/>
  <c r="S17" i="1" a="1"/>
  <c r="S17" i="1" s="1"/>
  <c r="R17" i="1" a="1"/>
  <c r="R17" i="1" s="1"/>
  <c r="Q17" i="1" a="1"/>
  <c r="Q17" i="1" s="1"/>
  <c r="P17" i="1" a="1"/>
  <c r="P17" i="1" s="1"/>
  <c r="O17" i="1" a="1"/>
  <c r="O17" i="1" s="1"/>
  <c r="N17" i="1" a="1"/>
  <c r="N17" i="1" s="1"/>
  <c r="M17" i="1" a="1"/>
  <c r="M17" i="1" s="1"/>
  <c r="L17" i="1" a="1"/>
  <c r="L17" i="1" s="1"/>
  <c r="K17" i="1" a="1"/>
  <c r="K17" i="1" s="1"/>
  <c r="J17" i="1" a="1"/>
  <c r="J17" i="1" s="1"/>
  <c r="I17" i="1" a="1"/>
  <c r="I17" i="1" s="1"/>
  <c r="H17" i="1" a="1"/>
  <c r="H17" i="1" s="1"/>
  <c r="G17" i="1" a="1"/>
  <c r="G17" i="1" s="1"/>
  <c r="F17" i="1" a="1"/>
  <c r="F17" i="1" s="1"/>
  <c r="E17" i="1" a="1"/>
  <c r="E17" i="1" s="1"/>
  <c r="D17" i="1" a="1"/>
  <c r="D17" i="1" s="1"/>
  <c r="C17" i="1" a="1"/>
  <c r="C17" i="1" s="1"/>
  <c r="AM11" i="1" a="1"/>
  <c r="AM11" i="1" s="1"/>
  <c r="AL11" i="1" a="1"/>
  <c r="AL11" i="1" s="1"/>
  <c r="AK11" i="1" a="1"/>
  <c r="AK11" i="1" s="1"/>
  <c r="AJ11" i="1" a="1"/>
  <c r="AJ11" i="1" s="1"/>
  <c r="AI11" i="1" a="1"/>
  <c r="AI11" i="1" s="1"/>
  <c r="AH11" i="1" a="1"/>
  <c r="AH11" i="1" s="1"/>
  <c r="AG11" i="1" a="1"/>
  <c r="AG11" i="1" s="1"/>
  <c r="AF11" i="1" a="1"/>
  <c r="AF11" i="1" s="1"/>
  <c r="AE11" i="1" a="1"/>
  <c r="AE11" i="1" s="1"/>
  <c r="AD11" i="1" a="1"/>
  <c r="AD11" i="1" s="1"/>
  <c r="AC11" i="1" a="1"/>
  <c r="AC11" i="1" s="1"/>
  <c r="AB11" i="1" a="1"/>
  <c r="AB11" i="1" s="1"/>
  <c r="AA11" i="1" a="1"/>
  <c r="AA11" i="1" s="1"/>
  <c r="Z11" i="1" a="1"/>
  <c r="Z11" i="1" s="1"/>
  <c r="Y11" i="1" a="1"/>
  <c r="Y11" i="1" s="1"/>
  <c r="X11" i="1" a="1"/>
  <c r="X11" i="1" s="1"/>
  <c r="W11" i="1" a="1"/>
  <c r="W11" i="1" s="1"/>
  <c r="V11" i="1" a="1"/>
  <c r="V11" i="1" s="1"/>
  <c r="U11" i="1" a="1"/>
  <c r="U11" i="1" s="1"/>
  <c r="T11" i="1" a="1"/>
  <c r="T11" i="1" s="1"/>
  <c r="S11" i="1" a="1"/>
  <c r="S11" i="1" s="1"/>
  <c r="R11" i="1" a="1"/>
  <c r="R11" i="1" s="1"/>
  <c r="Q11" i="1" a="1"/>
  <c r="Q11" i="1" s="1"/>
  <c r="P11" i="1" a="1"/>
  <c r="P11" i="1" s="1"/>
  <c r="O11" i="1" a="1"/>
  <c r="O11" i="1" s="1"/>
  <c r="N11" i="1" a="1"/>
  <c r="N11" i="1" s="1"/>
  <c r="M11" i="1" a="1"/>
  <c r="M11" i="1" s="1"/>
  <c r="L11" i="1" a="1"/>
  <c r="L11" i="1" s="1"/>
  <c r="K11" i="1" a="1"/>
  <c r="K11" i="1" s="1"/>
  <c r="J11" i="1" a="1"/>
  <c r="J11" i="1" s="1"/>
  <c r="I11" i="1" a="1"/>
  <c r="I11" i="1" s="1"/>
  <c r="H11" i="1" a="1"/>
  <c r="H11" i="1" s="1"/>
  <c r="G11" i="1" a="1"/>
  <c r="G11" i="1" s="1"/>
  <c r="F11" i="1" a="1"/>
  <c r="F11" i="1" s="1"/>
  <c r="E11" i="1" a="1"/>
  <c r="E11" i="1" s="1"/>
  <c r="D11" i="1" a="1"/>
  <c r="D11" i="1" s="1"/>
  <c r="C11" i="1" a="1"/>
  <c r="C11" i="1" s="1"/>
  <c r="B75" i="1"/>
  <c r="B69" i="1"/>
  <c r="B63" i="1"/>
  <c r="B57" i="1"/>
  <c r="B51" i="1"/>
  <c r="B45" i="1"/>
  <c r="B39" i="1"/>
  <c r="B33" i="1"/>
  <c r="B27" i="1"/>
  <c r="B21" i="1"/>
  <c r="B15" i="1"/>
  <c r="B74" i="1"/>
  <c r="B68" i="1"/>
  <c r="B62" i="1"/>
  <c r="B56" i="1"/>
  <c r="B50" i="1"/>
  <c r="B44" i="1"/>
  <c r="B38" i="1"/>
  <c r="B32" i="1"/>
  <c r="B26" i="1"/>
  <c r="B20" i="1"/>
  <c r="B14" i="1"/>
  <c r="B73" i="1"/>
  <c r="B67" i="1"/>
  <c r="B61" i="1"/>
  <c r="B55" i="1"/>
  <c r="B49" i="1"/>
  <c r="B43" i="1"/>
  <c r="B37" i="1"/>
  <c r="B31" i="1"/>
  <c r="B25" i="1"/>
  <c r="B19" i="1"/>
  <c r="B13" i="1"/>
  <c r="F21" i="3"/>
  <c r="E21" i="3"/>
  <c r="D21" i="3"/>
  <c r="B9" i="1"/>
  <c r="B7" i="1"/>
  <c r="B8" i="1"/>
  <c r="C5" i="1" a="1"/>
  <c r="C5" i="1" s="1"/>
  <c r="B71" i="1"/>
  <c r="B65" i="1"/>
  <c r="B59" i="1"/>
  <c r="B53" i="1"/>
  <c r="B47" i="1"/>
  <c r="B41" i="1"/>
  <c r="B35" i="1"/>
  <c r="B29" i="1"/>
  <c r="B23" i="1"/>
  <c r="B17" i="1"/>
  <c r="B11" i="1"/>
  <c r="AM5" i="1" a="1"/>
  <c r="AM5" i="1" s="1"/>
  <c r="AL5" i="1" a="1"/>
  <c r="AL5" i="1" s="1"/>
  <c r="AK5" i="1" a="1"/>
  <c r="AK5" i="1" s="1"/>
  <c r="AJ5" i="1" a="1"/>
  <c r="AJ5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Z5" i="1" a="1"/>
  <c r="Z5" i="1" s="1"/>
  <c r="Y5" i="1" a="1"/>
  <c r="Y5" i="1" s="1"/>
  <c r="X5" i="1" a="1"/>
  <c r="X5" i="1" s="1"/>
  <c r="W5" i="1" a="1"/>
  <c r="W5" i="1" s="1"/>
  <c r="V5" i="1" a="1"/>
  <c r="V5" i="1" s="1"/>
  <c r="U5" i="1" a="1"/>
  <c r="U5" i="1" s="1"/>
  <c r="T5" i="1" a="1"/>
  <c r="T5" i="1" s="1"/>
  <c r="S5" i="1" a="1"/>
  <c r="S5" i="1" s="1"/>
  <c r="R5" i="1" a="1"/>
  <c r="R5" i="1" s="1"/>
  <c r="Q5" i="1" a="1"/>
  <c r="Q5" i="1" s="1"/>
  <c r="P5" i="1" a="1"/>
  <c r="P5" i="1" s="1"/>
  <c r="O5" i="1" a="1"/>
  <c r="O5" i="1" s="1"/>
  <c r="N5" i="1" a="1"/>
  <c r="N5" i="1" s="1"/>
  <c r="M5" i="1" a="1"/>
  <c r="M5" i="1" s="1"/>
  <c r="L5" i="1" a="1"/>
  <c r="L5" i="1" s="1"/>
  <c r="K5" i="1" a="1"/>
  <c r="K5" i="1" s="1"/>
  <c r="J5" i="1" a="1"/>
  <c r="J5" i="1" s="1"/>
  <c r="I5" i="1" a="1"/>
  <c r="I5" i="1" s="1"/>
  <c r="H5" i="1" a="1"/>
  <c r="H5" i="1" s="1"/>
  <c r="G5" i="1" a="1"/>
  <c r="G5" i="1" s="1"/>
  <c r="F5" i="1" a="1"/>
  <c r="F5" i="1" s="1"/>
  <c r="E5" i="1" a="1"/>
  <c r="E5" i="1" s="1"/>
  <c r="D5" i="1" a="1"/>
  <c r="D5" i="1" s="1"/>
  <c r="B5" i="1"/>
  <c r="E8" i="1" l="1"/>
  <c r="E9" i="1"/>
  <c r="E7" i="1"/>
  <c r="F9" i="1"/>
  <c r="F8" i="1"/>
  <c r="F7" i="1"/>
  <c r="J9" i="1"/>
  <c r="J7" i="1"/>
  <c r="J8" i="1"/>
  <c r="N9" i="1"/>
  <c r="N7" i="1"/>
  <c r="N8" i="1"/>
  <c r="R9" i="1"/>
  <c r="R7" i="1"/>
  <c r="R8" i="1"/>
  <c r="V9" i="1"/>
  <c r="V8" i="1"/>
  <c r="V7" i="1"/>
  <c r="Z9" i="1"/>
  <c r="Z7" i="1"/>
  <c r="Z8" i="1"/>
  <c r="AD9" i="1"/>
  <c r="AD7" i="1"/>
  <c r="AD8" i="1"/>
  <c r="AH9" i="1"/>
  <c r="AH7" i="1"/>
  <c r="AH8" i="1"/>
  <c r="AL9" i="1"/>
  <c r="AL8" i="1"/>
  <c r="AL7" i="1"/>
  <c r="F13" i="1"/>
  <c r="F14" i="1"/>
  <c r="F15" i="1"/>
  <c r="J13" i="1"/>
  <c r="J14" i="1"/>
  <c r="J15" i="1"/>
  <c r="N13" i="1"/>
  <c r="N14" i="1"/>
  <c r="N15" i="1"/>
  <c r="R13" i="1"/>
  <c r="R14" i="1"/>
  <c r="R15" i="1"/>
  <c r="V13" i="1"/>
  <c r="V14" i="1"/>
  <c r="V15" i="1"/>
  <c r="Z13" i="1"/>
  <c r="Z14" i="1"/>
  <c r="Z15" i="1"/>
  <c r="AD13" i="1"/>
  <c r="AD14" i="1"/>
  <c r="AD15" i="1"/>
  <c r="AH13" i="1"/>
  <c r="AH15" i="1"/>
  <c r="AH14" i="1"/>
  <c r="AL13" i="1"/>
  <c r="AL14" i="1"/>
  <c r="AL15" i="1"/>
  <c r="E21" i="1"/>
  <c r="E20" i="1"/>
  <c r="E19" i="1"/>
  <c r="I21" i="1"/>
  <c r="I19" i="1"/>
  <c r="I20" i="1"/>
  <c r="M21" i="1"/>
  <c r="M20" i="1"/>
  <c r="M19" i="1"/>
  <c r="Q21" i="1"/>
  <c r="Q20" i="1"/>
  <c r="Q19" i="1"/>
  <c r="U21" i="1"/>
  <c r="U20" i="1"/>
  <c r="U19" i="1"/>
  <c r="Y21" i="1"/>
  <c r="Y20" i="1"/>
  <c r="Y19" i="1"/>
  <c r="AC21" i="1"/>
  <c r="AC20" i="1"/>
  <c r="AC19" i="1"/>
  <c r="AG21" i="1"/>
  <c r="AG19" i="1"/>
  <c r="AG20" i="1"/>
  <c r="AK21" i="1"/>
  <c r="AK20" i="1"/>
  <c r="AK19" i="1"/>
  <c r="D26" i="1"/>
  <c r="D25" i="1"/>
  <c r="D27" i="1"/>
  <c r="H26" i="1"/>
  <c r="H25" i="1"/>
  <c r="H27" i="1"/>
  <c r="L26" i="1"/>
  <c r="L25" i="1"/>
  <c r="L27" i="1"/>
  <c r="P26" i="1"/>
  <c r="P25" i="1"/>
  <c r="P27" i="1"/>
  <c r="T26" i="1"/>
  <c r="T25" i="1"/>
  <c r="T27" i="1"/>
  <c r="X26" i="1"/>
  <c r="X25" i="1"/>
  <c r="X27" i="1"/>
  <c r="AB26" i="1"/>
  <c r="AB25" i="1"/>
  <c r="AB27" i="1"/>
  <c r="AF26" i="1"/>
  <c r="AF25" i="1"/>
  <c r="AF27" i="1"/>
  <c r="AJ26" i="1"/>
  <c r="AJ25" i="1"/>
  <c r="AJ27" i="1"/>
  <c r="C33" i="1"/>
  <c r="C31" i="1"/>
  <c r="C32" i="1"/>
  <c r="G33" i="1"/>
  <c r="G32" i="1"/>
  <c r="G31" i="1"/>
  <c r="K33" i="1"/>
  <c r="K32" i="1"/>
  <c r="K31" i="1"/>
  <c r="O33" i="1"/>
  <c r="O32" i="1"/>
  <c r="O31" i="1"/>
  <c r="S33" i="1"/>
  <c r="S31" i="1"/>
  <c r="S32" i="1"/>
  <c r="W33" i="1"/>
  <c r="W32" i="1"/>
  <c r="W31" i="1"/>
  <c r="AA33" i="1"/>
  <c r="AA32" i="1"/>
  <c r="AA31" i="1"/>
  <c r="AE33" i="1"/>
  <c r="AE32" i="1"/>
  <c r="AE31" i="1"/>
  <c r="AI33" i="1"/>
  <c r="AI31" i="1"/>
  <c r="AI32" i="1"/>
  <c r="AM33" i="1"/>
  <c r="AM32" i="1"/>
  <c r="AM31" i="1"/>
  <c r="F38" i="1"/>
  <c r="F37" i="1"/>
  <c r="F39" i="1"/>
  <c r="J38" i="1"/>
  <c r="J37" i="1"/>
  <c r="J39" i="1"/>
  <c r="N38" i="1"/>
  <c r="N37" i="1"/>
  <c r="N39" i="1"/>
  <c r="R38" i="1"/>
  <c r="R37" i="1"/>
  <c r="R39" i="1"/>
  <c r="V38" i="1"/>
  <c r="V37" i="1"/>
  <c r="V39" i="1"/>
  <c r="Z38" i="1"/>
  <c r="Z37" i="1"/>
  <c r="Z39" i="1"/>
  <c r="AD38" i="1"/>
  <c r="AD37" i="1"/>
  <c r="AD39" i="1"/>
  <c r="AH38" i="1"/>
  <c r="AH37" i="1"/>
  <c r="AH39" i="1"/>
  <c r="AL38" i="1"/>
  <c r="AL37" i="1"/>
  <c r="AL39" i="1"/>
  <c r="E45" i="1"/>
  <c r="E43" i="1"/>
  <c r="E44" i="1"/>
  <c r="I44" i="1"/>
  <c r="I45" i="1"/>
  <c r="I43" i="1"/>
  <c r="M45" i="1"/>
  <c r="M43" i="1"/>
  <c r="M44" i="1"/>
  <c r="Q45" i="1"/>
  <c r="Q44" i="1"/>
  <c r="Q43" i="1"/>
  <c r="U44" i="1"/>
  <c r="U43" i="1"/>
  <c r="U45" i="1"/>
  <c r="Y45" i="1"/>
  <c r="Y44" i="1"/>
  <c r="Y43" i="1"/>
  <c r="AC45" i="1"/>
  <c r="AC43" i="1"/>
  <c r="AC44" i="1"/>
  <c r="AG45" i="1"/>
  <c r="AG44" i="1"/>
  <c r="AG43" i="1"/>
  <c r="AK44" i="1"/>
  <c r="AK43" i="1"/>
  <c r="AK45" i="1"/>
  <c r="D51" i="1"/>
  <c r="D50" i="1"/>
  <c r="D49" i="1"/>
  <c r="H51" i="1"/>
  <c r="H50" i="1"/>
  <c r="H49" i="1"/>
  <c r="L51" i="1"/>
  <c r="L50" i="1"/>
  <c r="L49" i="1"/>
  <c r="P51" i="1"/>
  <c r="P50" i="1"/>
  <c r="P49" i="1"/>
  <c r="T51" i="1"/>
  <c r="T50" i="1"/>
  <c r="T49" i="1"/>
  <c r="X51" i="1"/>
  <c r="X50" i="1"/>
  <c r="X49" i="1"/>
  <c r="AB51" i="1"/>
  <c r="AB50" i="1"/>
  <c r="AB49" i="1"/>
  <c r="AF51" i="1"/>
  <c r="AF50" i="1"/>
  <c r="AF49" i="1"/>
  <c r="AJ51" i="1"/>
  <c r="AJ50" i="1"/>
  <c r="AJ49" i="1"/>
  <c r="C56" i="1"/>
  <c r="C57" i="1"/>
  <c r="C55" i="1"/>
  <c r="G56" i="1"/>
  <c r="G55" i="1"/>
  <c r="G57" i="1"/>
  <c r="K56" i="1"/>
  <c r="K55" i="1"/>
  <c r="K57" i="1"/>
  <c r="O57" i="1"/>
  <c r="O56" i="1"/>
  <c r="O55" i="1"/>
  <c r="S57" i="1"/>
  <c r="S56" i="1"/>
  <c r="S55" i="1"/>
  <c r="W57" i="1"/>
  <c r="W56" i="1"/>
  <c r="W55" i="1"/>
  <c r="AA57" i="1"/>
  <c r="AA56" i="1"/>
  <c r="AA55" i="1"/>
  <c r="AE57" i="1"/>
  <c r="AE56" i="1"/>
  <c r="AE55" i="1"/>
  <c r="AI57" i="1"/>
  <c r="AI56" i="1"/>
  <c r="AI55" i="1"/>
  <c r="AM56" i="1"/>
  <c r="AM57" i="1"/>
  <c r="AM55" i="1"/>
  <c r="F62" i="1"/>
  <c r="F61" i="1"/>
  <c r="F63" i="1"/>
  <c r="J63" i="1"/>
  <c r="J62" i="1"/>
  <c r="J61" i="1"/>
  <c r="N63" i="1"/>
  <c r="N62" i="1"/>
  <c r="N61" i="1"/>
  <c r="R62" i="1"/>
  <c r="R63" i="1"/>
  <c r="R61" i="1"/>
  <c r="V63" i="1"/>
  <c r="V61" i="1"/>
  <c r="V62" i="1"/>
  <c r="Z63" i="1"/>
  <c r="Z62" i="1"/>
  <c r="Z61" i="1"/>
  <c r="AD63" i="1"/>
  <c r="AD62" i="1"/>
  <c r="AD61" i="1"/>
  <c r="AH63" i="1"/>
  <c r="AH61" i="1"/>
  <c r="AH62" i="1"/>
  <c r="AL62" i="1"/>
  <c r="AL63" i="1"/>
  <c r="AL61" i="1"/>
  <c r="E68" i="1"/>
  <c r="E67" i="1"/>
  <c r="E69" i="1"/>
  <c r="I68" i="1"/>
  <c r="I67" i="1"/>
  <c r="I69" i="1"/>
  <c r="M68" i="1"/>
  <c r="M69" i="1"/>
  <c r="M67" i="1"/>
  <c r="Q68" i="1"/>
  <c r="Q69" i="1"/>
  <c r="Q67" i="1"/>
  <c r="U68" i="1"/>
  <c r="U67" i="1"/>
  <c r="U69" i="1"/>
  <c r="Y68" i="1"/>
  <c r="Y67" i="1"/>
  <c r="Y69" i="1"/>
  <c r="AC68" i="1"/>
  <c r="AC67" i="1"/>
  <c r="AC69" i="1"/>
  <c r="AG68" i="1"/>
  <c r="AG69" i="1"/>
  <c r="AG67" i="1"/>
  <c r="AK68" i="1"/>
  <c r="AK67" i="1"/>
  <c r="AK69" i="1"/>
  <c r="D75" i="1"/>
  <c r="D73" i="1"/>
  <c r="D74" i="1"/>
  <c r="H74" i="1"/>
  <c r="H75" i="1"/>
  <c r="H73" i="1"/>
  <c r="L75" i="1"/>
  <c r="L74" i="1"/>
  <c r="L73" i="1"/>
  <c r="P75" i="1"/>
  <c r="P74" i="1"/>
  <c r="P73" i="1"/>
  <c r="T74" i="1"/>
  <c r="T73" i="1"/>
  <c r="T75" i="1"/>
  <c r="X75" i="1"/>
  <c r="X73" i="1"/>
  <c r="X74" i="1"/>
  <c r="AB75" i="1"/>
  <c r="AB74" i="1"/>
  <c r="AB73" i="1"/>
  <c r="AF75" i="1"/>
  <c r="AF74" i="1"/>
  <c r="AF73" i="1"/>
  <c r="AJ75" i="1"/>
  <c r="AJ73" i="1"/>
  <c r="AJ74" i="1"/>
  <c r="K9" i="1"/>
  <c r="K7" i="1"/>
  <c r="K8" i="1"/>
  <c r="O9" i="1"/>
  <c r="O7" i="1"/>
  <c r="O8" i="1"/>
  <c r="S9" i="1"/>
  <c r="S7" i="1"/>
  <c r="S8" i="1"/>
  <c r="W9" i="1"/>
  <c r="W7" i="1"/>
  <c r="W8" i="1"/>
  <c r="AA9" i="1"/>
  <c r="AA7" i="1"/>
  <c r="AA8" i="1"/>
  <c r="AE9" i="1"/>
  <c r="AE7" i="1"/>
  <c r="AE8" i="1"/>
  <c r="AI9" i="1"/>
  <c r="AI7" i="1"/>
  <c r="AI8" i="1"/>
  <c r="AM9" i="1"/>
  <c r="AM7" i="1"/>
  <c r="AM8" i="1"/>
  <c r="C9" i="1"/>
  <c r="C8" i="1"/>
  <c r="C7" i="1"/>
  <c r="C15" i="1"/>
  <c r="C13" i="1"/>
  <c r="C14" i="1"/>
  <c r="G15" i="1"/>
  <c r="G14" i="1"/>
  <c r="G13" i="1"/>
  <c r="K15" i="1"/>
  <c r="K13" i="1"/>
  <c r="K14" i="1"/>
  <c r="O15" i="1"/>
  <c r="O13" i="1"/>
  <c r="O14" i="1"/>
  <c r="S15" i="1"/>
  <c r="S13" i="1"/>
  <c r="S14" i="1"/>
  <c r="W15" i="1"/>
  <c r="W14" i="1"/>
  <c r="W13" i="1"/>
  <c r="AA15" i="1"/>
  <c r="AA13" i="1"/>
  <c r="AA14" i="1"/>
  <c r="AE15" i="1"/>
  <c r="AE13" i="1"/>
  <c r="AE14" i="1"/>
  <c r="AI15" i="1"/>
  <c r="AI13" i="1"/>
  <c r="AI14" i="1"/>
  <c r="AM15" i="1"/>
  <c r="AM14" i="1"/>
  <c r="AM13" i="1"/>
  <c r="F21" i="1"/>
  <c r="F20" i="1"/>
  <c r="F19" i="1"/>
  <c r="J21" i="1"/>
  <c r="J20" i="1"/>
  <c r="J19" i="1"/>
  <c r="N21" i="1"/>
  <c r="N20" i="1"/>
  <c r="N19" i="1"/>
  <c r="R21" i="1"/>
  <c r="R20" i="1"/>
  <c r="R19" i="1"/>
  <c r="V21" i="1"/>
  <c r="V20" i="1"/>
  <c r="V19" i="1"/>
  <c r="Z21" i="1"/>
  <c r="Z20" i="1"/>
  <c r="Z19" i="1"/>
  <c r="AD21" i="1"/>
  <c r="AD20" i="1"/>
  <c r="AD19" i="1"/>
  <c r="AH21" i="1"/>
  <c r="AH20" i="1"/>
  <c r="AH19" i="1"/>
  <c r="AL21" i="1"/>
  <c r="AL20" i="1"/>
  <c r="AL19" i="1"/>
  <c r="E25" i="1"/>
  <c r="E26" i="1"/>
  <c r="E27" i="1"/>
  <c r="I25" i="1"/>
  <c r="I27" i="1"/>
  <c r="I26" i="1"/>
  <c r="M25" i="1"/>
  <c r="M27" i="1"/>
  <c r="M26" i="1"/>
  <c r="Q25" i="1"/>
  <c r="Q27" i="1"/>
  <c r="Q26" i="1"/>
  <c r="U25" i="1"/>
  <c r="U26" i="1"/>
  <c r="U27" i="1"/>
  <c r="Y25" i="1"/>
  <c r="Y27" i="1"/>
  <c r="Y26" i="1"/>
  <c r="AC25" i="1"/>
  <c r="AC27" i="1"/>
  <c r="AC26" i="1"/>
  <c r="AG25" i="1"/>
  <c r="AG27" i="1"/>
  <c r="AG26" i="1"/>
  <c r="AK25" i="1"/>
  <c r="AK26" i="1"/>
  <c r="AK27" i="1"/>
  <c r="D33" i="1"/>
  <c r="D32" i="1"/>
  <c r="D31" i="1"/>
  <c r="H33" i="1"/>
  <c r="H32" i="1"/>
  <c r="H31" i="1"/>
  <c r="L33" i="1"/>
  <c r="L32" i="1"/>
  <c r="L31" i="1"/>
  <c r="P33" i="1"/>
  <c r="P32" i="1"/>
  <c r="P31" i="1"/>
  <c r="T33" i="1"/>
  <c r="T32" i="1"/>
  <c r="T31" i="1"/>
  <c r="X33" i="1"/>
  <c r="X32" i="1"/>
  <c r="X31" i="1"/>
  <c r="AB33" i="1"/>
  <c r="AB32" i="1"/>
  <c r="AB31" i="1"/>
  <c r="AF33" i="1"/>
  <c r="AF32" i="1"/>
  <c r="AF31" i="1"/>
  <c r="AJ33" i="1"/>
  <c r="AJ32" i="1"/>
  <c r="AJ31" i="1"/>
  <c r="C37" i="1"/>
  <c r="C39" i="1"/>
  <c r="C38" i="1"/>
  <c r="G37" i="1"/>
  <c r="G38" i="1"/>
  <c r="G39" i="1"/>
  <c r="K37" i="1"/>
  <c r="K39" i="1"/>
  <c r="K38" i="1"/>
  <c r="O37" i="1"/>
  <c r="O39" i="1"/>
  <c r="O38" i="1"/>
  <c r="S37" i="1"/>
  <c r="S39" i="1"/>
  <c r="S38" i="1"/>
  <c r="W37" i="1"/>
  <c r="W38" i="1"/>
  <c r="W39" i="1"/>
  <c r="AA37" i="1"/>
  <c r="AA39" i="1"/>
  <c r="AA38" i="1"/>
  <c r="AE37" i="1"/>
  <c r="AE39" i="1"/>
  <c r="AE38" i="1"/>
  <c r="AI37" i="1"/>
  <c r="AI39" i="1"/>
  <c r="AI38" i="1"/>
  <c r="AM37" i="1"/>
  <c r="AM38" i="1"/>
  <c r="AM39" i="1"/>
  <c r="F45" i="1"/>
  <c r="F44" i="1"/>
  <c r="F43" i="1"/>
  <c r="J45" i="1"/>
  <c r="J44" i="1"/>
  <c r="J43" i="1"/>
  <c r="N45" i="1"/>
  <c r="N44" i="1"/>
  <c r="N43" i="1"/>
  <c r="R45" i="1"/>
  <c r="R44" i="1"/>
  <c r="R43" i="1"/>
  <c r="V45" i="1"/>
  <c r="V44" i="1"/>
  <c r="V43" i="1"/>
  <c r="Z45" i="1"/>
  <c r="Z44" i="1"/>
  <c r="Z43" i="1"/>
  <c r="AD45" i="1"/>
  <c r="AD44" i="1"/>
  <c r="AD43" i="1"/>
  <c r="AH45" i="1"/>
  <c r="AH44" i="1"/>
  <c r="AH43" i="1"/>
  <c r="AL45" i="1"/>
  <c r="AL44" i="1"/>
  <c r="AL43" i="1"/>
  <c r="E50" i="1"/>
  <c r="E49" i="1"/>
  <c r="E51" i="1"/>
  <c r="I50" i="1"/>
  <c r="I49" i="1"/>
  <c r="I51" i="1"/>
  <c r="M50" i="1"/>
  <c r="M49" i="1"/>
  <c r="M51" i="1"/>
  <c r="Q50" i="1"/>
  <c r="Q49" i="1"/>
  <c r="Q51" i="1"/>
  <c r="U50" i="1"/>
  <c r="U49" i="1"/>
  <c r="U51" i="1"/>
  <c r="Y50" i="1"/>
  <c r="Y49" i="1"/>
  <c r="Y51" i="1"/>
  <c r="AC50" i="1"/>
  <c r="AC49" i="1"/>
  <c r="AC51" i="1"/>
  <c r="AG50" i="1"/>
  <c r="AG49" i="1"/>
  <c r="AG51" i="1"/>
  <c r="AK50" i="1"/>
  <c r="AK49" i="1"/>
  <c r="AK51" i="1"/>
  <c r="D56" i="1"/>
  <c r="D55" i="1"/>
  <c r="D57" i="1"/>
  <c r="H57" i="1"/>
  <c r="H56" i="1"/>
  <c r="H55" i="1"/>
  <c r="L57" i="1"/>
  <c r="L56" i="1"/>
  <c r="L55" i="1"/>
  <c r="P56" i="1"/>
  <c r="P57" i="1"/>
  <c r="P55" i="1"/>
  <c r="T57" i="1"/>
  <c r="T55" i="1"/>
  <c r="T56" i="1"/>
  <c r="X55" i="1"/>
  <c r="X56" i="1"/>
  <c r="X57" i="1"/>
  <c r="AB55" i="1"/>
  <c r="AB57" i="1"/>
  <c r="AB56" i="1"/>
  <c r="AF55" i="1"/>
  <c r="AF56" i="1"/>
  <c r="AF57" i="1"/>
  <c r="AJ57" i="1"/>
  <c r="AJ55" i="1"/>
  <c r="AJ56" i="1"/>
  <c r="C63" i="1"/>
  <c r="C62" i="1"/>
  <c r="C61" i="1"/>
  <c r="G63" i="1"/>
  <c r="G62" i="1"/>
  <c r="G61" i="1"/>
  <c r="K63" i="1"/>
  <c r="K61" i="1"/>
  <c r="K62" i="1"/>
  <c r="O63" i="1"/>
  <c r="O62" i="1"/>
  <c r="O61" i="1"/>
  <c r="S63" i="1"/>
  <c r="S62" i="1"/>
  <c r="S61" i="1"/>
  <c r="W63" i="1"/>
  <c r="W61" i="1"/>
  <c r="W62" i="1"/>
  <c r="AA63" i="1"/>
  <c r="AA62" i="1"/>
  <c r="AA61" i="1"/>
  <c r="AE63" i="1"/>
  <c r="AE62" i="1"/>
  <c r="AE61" i="1"/>
  <c r="AI63" i="1"/>
  <c r="AI62" i="1"/>
  <c r="AI61" i="1"/>
  <c r="AM63" i="1"/>
  <c r="AM62" i="1"/>
  <c r="AM61" i="1"/>
  <c r="F67" i="1"/>
  <c r="F69" i="1"/>
  <c r="F68" i="1"/>
  <c r="J67" i="1"/>
  <c r="J69" i="1"/>
  <c r="J68" i="1"/>
  <c r="N67" i="1"/>
  <c r="N68" i="1"/>
  <c r="N69" i="1"/>
  <c r="R67" i="1"/>
  <c r="R69" i="1"/>
  <c r="R68" i="1"/>
  <c r="V67" i="1"/>
  <c r="V69" i="1"/>
  <c r="V68" i="1"/>
  <c r="Z67" i="1"/>
  <c r="Z69" i="1"/>
  <c r="Z68" i="1"/>
  <c r="AD67" i="1"/>
  <c r="AD69" i="1"/>
  <c r="AD68" i="1"/>
  <c r="AH67" i="1"/>
  <c r="AH68" i="1"/>
  <c r="AH69" i="1"/>
  <c r="AL67" i="1"/>
  <c r="AL69" i="1"/>
  <c r="AL68" i="1"/>
  <c r="E75" i="1"/>
  <c r="E74" i="1"/>
  <c r="E73" i="1"/>
  <c r="I75" i="1"/>
  <c r="I74" i="1"/>
  <c r="I73" i="1"/>
  <c r="M75" i="1"/>
  <c r="M73" i="1"/>
  <c r="M74" i="1"/>
  <c r="Q75" i="1"/>
  <c r="Q74" i="1"/>
  <c r="Q73" i="1"/>
  <c r="U75" i="1"/>
  <c r="U74" i="1"/>
  <c r="U73" i="1"/>
  <c r="Y75" i="1"/>
  <c r="Y73" i="1"/>
  <c r="Y74" i="1"/>
  <c r="AC75" i="1"/>
  <c r="AC74" i="1"/>
  <c r="AC73" i="1"/>
  <c r="AG75" i="1"/>
  <c r="AG74" i="1"/>
  <c r="AG73" i="1"/>
  <c r="AK75" i="1"/>
  <c r="AK74" i="1"/>
  <c r="AK73" i="1"/>
  <c r="D8" i="1"/>
  <c r="D7" i="1"/>
  <c r="D9" i="1"/>
  <c r="H8" i="1"/>
  <c r="H7" i="1"/>
  <c r="H9" i="1"/>
  <c r="L8" i="1"/>
  <c r="L7" i="1"/>
  <c r="L9" i="1"/>
  <c r="P8" i="1"/>
  <c r="P7" i="1"/>
  <c r="P9" i="1"/>
  <c r="T8" i="1"/>
  <c r="T7" i="1"/>
  <c r="T9" i="1"/>
  <c r="X8" i="1"/>
  <c r="X7" i="1"/>
  <c r="X9" i="1"/>
  <c r="AB8" i="1"/>
  <c r="AB7" i="1"/>
  <c r="AB9" i="1"/>
  <c r="AF8" i="1"/>
  <c r="AF7" i="1"/>
  <c r="AF9" i="1"/>
  <c r="AJ8" i="1"/>
  <c r="AJ7" i="1"/>
  <c r="AJ9" i="1"/>
  <c r="D15" i="1"/>
  <c r="D14" i="1"/>
  <c r="D13" i="1"/>
  <c r="H15" i="1"/>
  <c r="H14" i="1"/>
  <c r="H13" i="1"/>
  <c r="L15" i="1"/>
  <c r="L14" i="1"/>
  <c r="L13" i="1"/>
  <c r="P15" i="1"/>
  <c r="P14" i="1"/>
  <c r="P13" i="1"/>
  <c r="T15" i="1"/>
  <c r="T14" i="1"/>
  <c r="T13" i="1"/>
  <c r="X15" i="1"/>
  <c r="X14" i="1"/>
  <c r="X13" i="1"/>
  <c r="AB15" i="1"/>
  <c r="AB14" i="1"/>
  <c r="AB13" i="1"/>
  <c r="AF15" i="1"/>
  <c r="AF14" i="1"/>
  <c r="AF13" i="1"/>
  <c r="AJ15" i="1"/>
  <c r="AJ14" i="1"/>
  <c r="AJ13" i="1"/>
  <c r="C20" i="1"/>
  <c r="C19" i="1"/>
  <c r="C21" i="1"/>
  <c r="G20" i="1"/>
  <c r="G19" i="1"/>
  <c r="G21" i="1"/>
  <c r="K20" i="1"/>
  <c r="K19" i="1"/>
  <c r="K21" i="1"/>
  <c r="O20" i="1"/>
  <c r="O19" i="1"/>
  <c r="O21" i="1"/>
  <c r="S20" i="1"/>
  <c r="S19" i="1"/>
  <c r="S21" i="1"/>
  <c r="W20" i="1"/>
  <c r="W19" i="1"/>
  <c r="W21" i="1"/>
  <c r="AA20" i="1"/>
  <c r="AA19" i="1"/>
  <c r="AA21" i="1"/>
  <c r="AE20" i="1"/>
  <c r="AE19" i="1"/>
  <c r="AE21" i="1"/>
  <c r="AI20" i="1"/>
  <c r="AI19" i="1"/>
  <c r="AI21" i="1"/>
  <c r="AM20" i="1"/>
  <c r="AM19" i="1"/>
  <c r="AM21" i="1"/>
  <c r="F27" i="1"/>
  <c r="F26" i="1"/>
  <c r="F25" i="1"/>
  <c r="J27" i="1"/>
  <c r="J25" i="1"/>
  <c r="J26" i="1"/>
  <c r="N27" i="1"/>
  <c r="N26" i="1"/>
  <c r="N25" i="1"/>
  <c r="R27" i="1"/>
  <c r="R26" i="1"/>
  <c r="R25" i="1"/>
  <c r="V27" i="1"/>
  <c r="V26" i="1"/>
  <c r="V25" i="1"/>
  <c r="Z27" i="1"/>
  <c r="Z25" i="1"/>
  <c r="Z26" i="1"/>
  <c r="AD27" i="1"/>
  <c r="AD26" i="1"/>
  <c r="AD25" i="1"/>
  <c r="AH27" i="1"/>
  <c r="AH26" i="1"/>
  <c r="AH25" i="1"/>
  <c r="AL27" i="1"/>
  <c r="AL26" i="1"/>
  <c r="AL25" i="1"/>
  <c r="E32" i="1"/>
  <c r="E31" i="1"/>
  <c r="E33" i="1"/>
  <c r="I32" i="1"/>
  <c r="I31" i="1"/>
  <c r="I33" i="1"/>
  <c r="M32" i="1"/>
  <c r="M31" i="1"/>
  <c r="M33" i="1"/>
  <c r="Q32" i="1"/>
  <c r="Q31" i="1"/>
  <c r="Q33" i="1"/>
  <c r="U32" i="1"/>
  <c r="U31" i="1"/>
  <c r="U33" i="1"/>
  <c r="Y32" i="1"/>
  <c r="Y31" i="1"/>
  <c r="Y33" i="1"/>
  <c r="AC32" i="1"/>
  <c r="AC31" i="1"/>
  <c r="AC33" i="1"/>
  <c r="AG32" i="1"/>
  <c r="AG31" i="1"/>
  <c r="AG33" i="1"/>
  <c r="AK32" i="1"/>
  <c r="AK31" i="1"/>
  <c r="AK33" i="1"/>
  <c r="D39" i="1"/>
  <c r="D37" i="1"/>
  <c r="D38" i="1"/>
  <c r="H39" i="1"/>
  <c r="H38" i="1"/>
  <c r="H37" i="1"/>
  <c r="L39" i="1"/>
  <c r="L37" i="1"/>
  <c r="L38" i="1"/>
  <c r="P39" i="1"/>
  <c r="P38" i="1"/>
  <c r="P37" i="1"/>
  <c r="T39" i="1"/>
  <c r="T38" i="1"/>
  <c r="T37" i="1"/>
  <c r="X39" i="1"/>
  <c r="X38" i="1"/>
  <c r="X37" i="1"/>
  <c r="AB39" i="1"/>
  <c r="AB37" i="1"/>
  <c r="AB38" i="1"/>
  <c r="AF39" i="1"/>
  <c r="AF38" i="1"/>
  <c r="AF37" i="1"/>
  <c r="AJ39" i="1"/>
  <c r="AJ38" i="1"/>
  <c r="AJ37" i="1"/>
  <c r="C44" i="1"/>
  <c r="C43" i="1"/>
  <c r="C45" i="1"/>
  <c r="G45" i="1"/>
  <c r="G44" i="1"/>
  <c r="G43" i="1"/>
  <c r="K44" i="1"/>
  <c r="K45" i="1"/>
  <c r="K43" i="1"/>
  <c r="O44" i="1"/>
  <c r="O43" i="1"/>
  <c r="O45" i="1"/>
  <c r="S45" i="1"/>
  <c r="S44" i="1"/>
  <c r="S43" i="1"/>
  <c r="W45" i="1"/>
  <c r="W44" i="1"/>
  <c r="W43" i="1"/>
  <c r="AA45" i="1"/>
  <c r="AA44" i="1"/>
  <c r="AA43" i="1"/>
  <c r="AE45" i="1"/>
  <c r="AE44" i="1"/>
  <c r="AE43" i="1"/>
  <c r="AI45" i="1"/>
  <c r="AI44" i="1"/>
  <c r="AI43" i="1"/>
  <c r="AM45" i="1"/>
  <c r="AM44" i="1"/>
  <c r="AM43" i="1"/>
  <c r="F49" i="1"/>
  <c r="F50" i="1"/>
  <c r="F51" i="1"/>
  <c r="J49" i="1"/>
  <c r="J51" i="1"/>
  <c r="J50" i="1"/>
  <c r="N49" i="1"/>
  <c r="N50" i="1"/>
  <c r="N51" i="1"/>
  <c r="R49" i="1"/>
  <c r="R51" i="1"/>
  <c r="R50" i="1"/>
  <c r="V49" i="1"/>
  <c r="V50" i="1"/>
  <c r="V51" i="1"/>
  <c r="Z49" i="1"/>
  <c r="Z51" i="1"/>
  <c r="Z50" i="1"/>
  <c r="AD49" i="1"/>
  <c r="AD50" i="1"/>
  <c r="AD51" i="1"/>
  <c r="AH49" i="1"/>
  <c r="AH51" i="1"/>
  <c r="AH50" i="1"/>
  <c r="AL49" i="1"/>
  <c r="AL50" i="1"/>
  <c r="AL51" i="1"/>
  <c r="E56" i="1"/>
  <c r="E55" i="1"/>
  <c r="E57" i="1"/>
  <c r="I57" i="1"/>
  <c r="I55" i="1"/>
  <c r="I56" i="1"/>
  <c r="M57" i="1"/>
  <c r="M56" i="1"/>
  <c r="M55" i="1"/>
  <c r="Q56" i="1"/>
  <c r="Q57" i="1"/>
  <c r="Q55" i="1"/>
  <c r="U57" i="1"/>
  <c r="U55" i="1"/>
  <c r="U56" i="1"/>
  <c r="Y57" i="1"/>
  <c r="Y56" i="1"/>
  <c r="Y55" i="1"/>
  <c r="AC57" i="1"/>
  <c r="AC56" i="1"/>
  <c r="AC55" i="1"/>
  <c r="AG56" i="1"/>
  <c r="AG55" i="1"/>
  <c r="AG57" i="1"/>
  <c r="AK57" i="1"/>
  <c r="AK56" i="1"/>
  <c r="AK55" i="1"/>
  <c r="D62" i="1"/>
  <c r="D61" i="1"/>
  <c r="D63" i="1"/>
  <c r="H62" i="1"/>
  <c r="H61" i="1"/>
  <c r="H63" i="1"/>
  <c r="L62" i="1"/>
  <c r="L61" i="1"/>
  <c r="L63" i="1"/>
  <c r="P62" i="1"/>
  <c r="P63" i="1"/>
  <c r="P61" i="1"/>
  <c r="T62" i="1"/>
  <c r="T61" i="1"/>
  <c r="T63" i="1"/>
  <c r="X62" i="1"/>
  <c r="X61" i="1"/>
  <c r="X63" i="1"/>
  <c r="AB62" i="1"/>
  <c r="AB61" i="1"/>
  <c r="AB63" i="1"/>
  <c r="AF62" i="1"/>
  <c r="AF63" i="1"/>
  <c r="AF61" i="1"/>
  <c r="AJ62" i="1"/>
  <c r="AJ61" i="1"/>
  <c r="AJ63" i="1"/>
  <c r="C68" i="1"/>
  <c r="C67" i="1"/>
  <c r="C69" i="1"/>
  <c r="G69" i="1"/>
  <c r="G67" i="1"/>
  <c r="G68" i="1"/>
  <c r="K69" i="1"/>
  <c r="K68" i="1"/>
  <c r="K67" i="1"/>
  <c r="O69" i="1"/>
  <c r="O68" i="1"/>
  <c r="O67" i="1"/>
  <c r="S69" i="1"/>
  <c r="S67" i="1"/>
  <c r="S68" i="1"/>
  <c r="W68" i="1"/>
  <c r="W67" i="1"/>
  <c r="W69" i="1"/>
  <c r="AA69" i="1"/>
  <c r="AA68" i="1"/>
  <c r="AA67" i="1"/>
  <c r="AE69" i="1"/>
  <c r="AE68" i="1"/>
  <c r="AE67" i="1"/>
  <c r="AI68" i="1"/>
  <c r="AI69" i="1"/>
  <c r="AI67" i="1"/>
  <c r="AM69" i="1"/>
  <c r="AM67" i="1"/>
  <c r="AM68" i="1"/>
  <c r="F74" i="1"/>
  <c r="F73" i="1"/>
  <c r="F75" i="1"/>
  <c r="J74" i="1"/>
  <c r="J73" i="1"/>
  <c r="J75" i="1"/>
  <c r="N74" i="1"/>
  <c r="N73" i="1"/>
  <c r="N75" i="1"/>
  <c r="R74" i="1"/>
  <c r="R75" i="1"/>
  <c r="R73" i="1"/>
  <c r="V74" i="1"/>
  <c r="V73" i="1"/>
  <c r="V75" i="1"/>
  <c r="Z74" i="1"/>
  <c r="Z73" i="1"/>
  <c r="Z75" i="1"/>
  <c r="AD74" i="1"/>
  <c r="AD75" i="1"/>
  <c r="AD73" i="1"/>
  <c r="AH74" i="1"/>
  <c r="AH75" i="1"/>
  <c r="AH73" i="1"/>
  <c r="AL75" i="1"/>
  <c r="AL74" i="1"/>
  <c r="AL73" i="1"/>
  <c r="G9" i="1"/>
  <c r="G7" i="1"/>
  <c r="G8" i="1"/>
  <c r="I8" i="1"/>
  <c r="I9" i="1"/>
  <c r="I7" i="1"/>
  <c r="M8" i="1"/>
  <c r="M9" i="1"/>
  <c r="M7" i="1"/>
  <c r="Q8" i="1"/>
  <c r="Q9" i="1"/>
  <c r="Q7" i="1"/>
  <c r="U8" i="1"/>
  <c r="U9" i="1"/>
  <c r="U7" i="1"/>
  <c r="Y8" i="1"/>
  <c r="Y9" i="1"/>
  <c r="Y7" i="1"/>
  <c r="AC8" i="1"/>
  <c r="AC9" i="1"/>
  <c r="AC7" i="1"/>
  <c r="AG8" i="1"/>
  <c r="AG9" i="1"/>
  <c r="AG7" i="1"/>
  <c r="AK8" i="1"/>
  <c r="AK9" i="1"/>
  <c r="AK7" i="1"/>
  <c r="E14" i="1"/>
  <c r="E13" i="1"/>
  <c r="E15" i="1"/>
  <c r="I14" i="1"/>
  <c r="I13" i="1"/>
  <c r="I15" i="1"/>
  <c r="M14" i="1"/>
  <c r="M13" i="1"/>
  <c r="M15" i="1"/>
  <c r="Q14" i="1"/>
  <c r="Q13" i="1"/>
  <c r="Q15" i="1"/>
  <c r="U14" i="1"/>
  <c r="U13" i="1"/>
  <c r="U15" i="1"/>
  <c r="Y14" i="1"/>
  <c r="Y13" i="1"/>
  <c r="Y15" i="1"/>
  <c r="AC14" i="1"/>
  <c r="AC13" i="1"/>
  <c r="AC15" i="1"/>
  <c r="AG14" i="1"/>
  <c r="AG13" i="1"/>
  <c r="AG15" i="1"/>
  <c r="AK14" i="1"/>
  <c r="AK13" i="1"/>
  <c r="AK15" i="1"/>
  <c r="D20" i="1"/>
  <c r="D19" i="1"/>
  <c r="D21" i="1"/>
  <c r="H21" i="1"/>
  <c r="H20" i="1"/>
  <c r="H19" i="1"/>
  <c r="L20" i="1"/>
  <c r="L19" i="1"/>
  <c r="L21" i="1"/>
  <c r="P21" i="1"/>
  <c r="P20" i="1"/>
  <c r="P19" i="1"/>
  <c r="T20" i="1"/>
  <c r="T19" i="1"/>
  <c r="T21" i="1"/>
  <c r="X21" i="1"/>
  <c r="X19" i="1"/>
  <c r="X20" i="1"/>
  <c r="AB20" i="1"/>
  <c r="AB19" i="1"/>
  <c r="AB21" i="1"/>
  <c r="AF21" i="1"/>
  <c r="AF19" i="1"/>
  <c r="AF20" i="1"/>
  <c r="AJ19" i="1"/>
  <c r="AJ20" i="1"/>
  <c r="AJ21" i="1"/>
  <c r="C27" i="1"/>
  <c r="C26" i="1"/>
  <c r="C25" i="1"/>
  <c r="G27" i="1"/>
  <c r="G26" i="1"/>
  <c r="G25" i="1"/>
  <c r="K27" i="1"/>
  <c r="K26" i="1"/>
  <c r="K25" i="1"/>
  <c r="O27" i="1"/>
  <c r="O26" i="1"/>
  <c r="O25" i="1"/>
  <c r="S27" i="1"/>
  <c r="S26" i="1"/>
  <c r="S25" i="1"/>
  <c r="W27" i="1"/>
  <c r="W26" i="1"/>
  <c r="W25" i="1"/>
  <c r="AA27" i="1"/>
  <c r="AA26" i="1"/>
  <c r="AA25" i="1"/>
  <c r="AE27" i="1"/>
  <c r="AE26" i="1"/>
  <c r="AE25" i="1"/>
  <c r="AI27" i="1"/>
  <c r="AI26" i="1"/>
  <c r="AI25" i="1"/>
  <c r="AM27" i="1"/>
  <c r="AM26" i="1"/>
  <c r="AM25" i="1"/>
  <c r="F31" i="1"/>
  <c r="F33" i="1"/>
  <c r="F32" i="1"/>
  <c r="J31" i="1"/>
  <c r="J33" i="1"/>
  <c r="J32" i="1"/>
  <c r="N31" i="1"/>
  <c r="N32" i="1"/>
  <c r="N33" i="1"/>
  <c r="R31" i="1"/>
  <c r="R33" i="1"/>
  <c r="R32" i="1"/>
  <c r="V31" i="1"/>
  <c r="V33" i="1"/>
  <c r="V32" i="1"/>
  <c r="Z31" i="1"/>
  <c r="Z33" i="1"/>
  <c r="Z32" i="1"/>
  <c r="AD31" i="1"/>
  <c r="AD32" i="1"/>
  <c r="AD33" i="1"/>
  <c r="AH31" i="1"/>
  <c r="AH33" i="1"/>
  <c r="AH32" i="1"/>
  <c r="AL31" i="1"/>
  <c r="AL33" i="1"/>
  <c r="AL32" i="1"/>
  <c r="E39" i="1"/>
  <c r="E38" i="1"/>
  <c r="E37" i="1"/>
  <c r="I39" i="1"/>
  <c r="I38" i="1"/>
  <c r="I37" i="1"/>
  <c r="M39" i="1"/>
  <c r="M38" i="1"/>
  <c r="M37" i="1"/>
  <c r="Q39" i="1"/>
  <c r="Q38" i="1"/>
  <c r="Q37" i="1"/>
  <c r="U39" i="1"/>
  <c r="U38" i="1"/>
  <c r="U37" i="1"/>
  <c r="Y39" i="1"/>
  <c r="Y38" i="1"/>
  <c r="Y37" i="1"/>
  <c r="AC39" i="1"/>
  <c r="AC38" i="1"/>
  <c r="AC37" i="1"/>
  <c r="AG39" i="1"/>
  <c r="AG38" i="1"/>
  <c r="AG37" i="1"/>
  <c r="AK39" i="1"/>
  <c r="AK38" i="1"/>
  <c r="AK37" i="1"/>
  <c r="D43" i="1"/>
  <c r="D45" i="1"/>
  <c r="D44" i="1"/>
  <c r="H43" i="1"/>
  <c r="H44" i="1"/>
  <c r="H45" i="1"/>
  <c r="L45" i="1"/>
  <c r="L43" i="1"/>
  <c r="L44" i="1"/>
  <c r="P43" i="1"/>
  <c r="P45" i="1"/>
  <c r="P44" i="1"/>
  <c r="T43" i="1"/>
  <c r="T45" i="1"/>
  <c r="T44" i="1"/>
  <c r="X43" i="1"/>
  <c r="X45" i="1"/>
  <c r="X44" i="1"/>
  <c r="AB43" i="1"/>
  <c r="AB45" i="1"/>
  <c r="AB44" i="1"/>
  <c r="AF43" i="1"/>
  <c r="AF45" i="1"/>
  <c r="AF44" i="1"/>
  <c r="AJ43" i="1"/>
  <c r="AJ45" i="1"/>
  <c r="AJ44" i="1"/>
  <c r="C51" i="1"/>
  <c r="C49" i="1"/>
  <c r="C50" i="1"/>
  <c r="G51" i="1"/>
  <c r="G50" i="1"/>
  <c r="G49" i="1"/>
  <c r="K51" i="1"/>
  <c r="K49" i="1"/>
  <c r="K50" i="1"/>
  <c r="O51" i="1"/>
  <c r="O50" i="1"/>
  <c r="O49" i="1"/>
  <c r="S51" i="1"/>
  <c r="S49" i="1"/>
  <c r="S50" i="1"/>
  <c r="W51" i="1"/>
  <c r="W50" i="1"/>
  <c r="W49" i="1"/>
  <c r="AA51" i="1"/>
  <c r="AA49" i="1"/>
  <c r="AA50" i="1"/>
  <c r="AE51" i="1"/>
  <c r="AE50" i="1"/>
  <c r="AE49" i="1"/>
  <c r="AI51" i="1"/>
  <c r="AI49" i="1"/>
  <c r="AI50" i="1"/>
  <c r="AM51" i="1"/>
  <c r="AM50" i="1"/>
  <c r="AM49" i="1"/>
  <c r="F57" i="1"/>
  <c r="F56" i="1"/>
  <c r="F55" i="1"/>
  <c r="J57" i="1"/>
  <c r="J55" i="1"/>
  <c r="J56" i="1"/>
  <c r="N57" i="1"/>
  <c r="N55" i="1"/>
  <c r="N56" i="1"/>
  <c r="R57" i="1"/>
  <c r="R56" i="1"/>
  <c r="R55" i="1"/>
  <c r="V57" i="1"/>
  <c r="V56" i="1"/>
  <c r="V55" i="1"/>
  <c r="Z57" i="1"/>
  <c r="Z56" i="1"/>
  <c r="Z55" i="1"/>
  <c r="AD57" i="1"/>
  <c r="AD55" i="1"/>
  <c r="AD56" i="1"/>
  <c r="AH57" i="1"/>
  <c r="AH56" i="1"/>
  <c r="AH55" i="1"/>
  <c r="AL57" i="1"/>
  <c r="AL56" i="1"/>
  <c r="AL55" i="1"/>
  <c r="E61" i="1"/>
  <c r="E63" i="1"/>
  <c r="E62" i="1"/>
  <c r="I61" i="1"/>
  <c r="I63" i="1"/>
  <c r="I62" i="1"/>
  <c r="M61" i="1"/>
  <c r="M63" i="1"/>
  <c r="M62" i="1"/>
  <c r="Q61" i="1"/>
  <c r="Q62" i="1"/>
  <c r="Q63" i="1"/>
  <c r="U61" i="1"/>
  <c r="U63" i="1"/>
  <c r="U62" i="1"/>
  <c r="Y61" i="1"/>
  <c r="Y63" i="1"/>
  <c r="Y62" i="1"/>
  <c r="AC61" i="1"/>
  <c r="AC62" i="1"/>
  <c r="AC63" i="1"/>
  <c r="AG61" i="1"/>
  <c r="AG63" i="1"/>
  <c r="AG62" i="1"/>
  <c r="AK61" i="1"/>
  <c r="AK63" i="1"/>
  <c r="AK62" i="1"/>
  <c r="D69" i="1"/>
  <c r="D68" i="1"/>
  <c r="D67" i="1"/>
  <c r="H69" i="1"/>
  <c r="H67" i="1"/>
  <c r="H68" i="1"/>
  <c r="L69" i="1"/>
  <c r="L68" i="1"/>
  <c r="L67" i="1"/>
  <c r="P69" i="1"/>
  <c r="P68" i="1"/>
  <c r="P67" i="1"/>
  <c r="T69" i="1"/>
  <c r="T68" i="1"/>
  <c r="T67" i="1"/>
  <c r="X69" i="1"/>
  <c r="X68" i="1"/>
  <c r="X67" i="1"/>
  <c r="AB69" i="1"/>
  <c r="AB67" i="1"/>
  <c r="AB68" i="1"/>
  <c r="AF69" i="1"/>
  <c r="AF68" i="1"/>
  <c r="AF67" i="1"/>
  <c r="AJ69" i="1"/>
  <c r="AJ68" i="1"/>
  <c r="AJ67" i="1"/>
  <c r="C73" i="1"/>
  <c r="C75" i="1"/>
  <c r="C74" i="1"/>
  <c r="G73" i="1"/>
  <c r="G75" i="1"/>
  <c r="G74" i="1"/>
  <c r="K73" i="1"/>
  <c r="K75" i="1"/>
  <c r="K74" i="1"/>
  <c r="O73" i="1"/>
  <c r="O75" i="1"/>
  <c r="O74" i="1"/>
  <c r="S73" i="1"/>
  <c r="S74" i="1"/>
  <c r="S75" i="1"/>
  <c r="W73" i="1"/>
  <c r="W75" i="1"/>
  <c r="W74" i="1"/>
  <c r="AA73" i="1"/>
  <c r="AA75" i="1"/>
  <c r="AA74" i="1"/>
  <c r="AE73" i="1"/>
  <c r="AE74" i="1"/>
  <c r="AE75" i="1"/>
  <c r="AI73" i="1"/>
  <c r="AI75" i="1"/>
  <c r="AI74" i="1"/>
  <c r="AM73" i="1"/>
  <c r="AM74" i="1"/>
  <c r="AM7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<sst xmlns="http://schemas.openxmlformats.org/spreadsheetml/2006/main" count="493" uniqueCount="37">
  <si>
    <t>Do</t>
  </si>
  <si>
    <t>lu</t>
  </si>
  <si>
    <t>Ma</t>
  </si>
  <si>
    <t>Mi</t>
  </si>
  <si>
    <t>Ju</t>
  </si>
  <si>
    <t>Vi</t>
  </si>
  <si>
    <t>Sa</t>
  </si>
  <si>
    <t>Turno 1</t>
  </si>
  <si>
    <t>Turno 2</t>
  </si>
  <si>
    <t>ma</t>
  </si>
  <si>
    <t>Turno 3</t>
  </si>
  <si>
    <t>Detalles de Trabajo y Turno</t>
  </si>
  <si>
    <t>Descripción del trabajo</t>
  </si>
  <si>
    <t xml:space="preserve"> Código de día libre</t>
  </si>
  <si>
    <t>Fecha de inicio del patrón</t>
  </si>
  <si>
    <t>Patrón de turnos</t>
  </si>
  <si>
    <t>Nombre del turno</t>
  </si>
  <si>
    <t>Código</t>
  </si>
  <si>
    <t>Hora del turno</t>
  </si>
  <si>
    <t>Trabajo 1</t>
  </si>
  <si>
    <t>Turno de día</t>
  </si>
  <si>
    <t>D</t>
  </si>
  <si>
    <t>De 6:00 a.m. a 10:00 a.m.</t>
  </si>
  <si>
    <t>Turno de noche</t>
  </si>
  <si>
    <t>N</t>
  </si>
  <si>
    <t>De 10:00 p.m. a 12:00 a.m.</t>
  </si>
  <si>
    <t>x</t>
  </si>
  <si>
    <t>DDDDxxNNNNxxDDDxNNNxxxDDxNNxxx</t>
  </si>
  <si>
    <t>Trabajo 2</t>
  </si>
  <si>
    <t>NNNNxxxxxDxxNNNxxDDxxxNNxDDxxx</t>
  </si>
  <si>
    <t>Trabajo 3</t>
  </si>
  <si>
    <t>Medio Turno</t>
  </si>
  <si>
    <t>L</t>
  </si>
  <si>
    <t xml:space="preserve">De 2:00 p.m. a 4:00 p.m. </t>
  </si>
  <si>
    <t xml:space="preserve"> </t>
  </si>
  <si>
    <t>LLxxxxLLxxxxLLLxxxLxxxxxxLLxxx</t>
  </si>
  <si>
    <r>
      <rPr>
        <sz val="40"/>
        <color theme="3" tint="-0.499984740745262"/>
        <rFont val="Franklin Gothic Medium"/>
        <family val="2"/>
        <scheme val="major"/>
      </rPr>
      <t xml:space="preserve">Calendario </t>
    </r>
    <r>
      <rPr>
        <sz val="40"/>
        <color rgb="FF0E668B"/>
        <rFont val="Franklin Gothic Medium"/>
        <family val="2"/>
        <scheme val="major"/>
      </rPr>
      <t>DE TRABAJO POR TURNOS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</si>
</sst>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mm\ yyyy"/>
    <numFmt numFmtId="166" formatCode=";;;"/>
    <numFmt numFmtId="167" formatCode="[$-80A]d&quot; de &quot;mmmm&quot; de &quot;yyyy;@"/>
  </numFmts>
  <fonts count="23" x14ac:knownFonts="1">
    <font>
      <sz val="11"/>
      <color theme="1"/>
      <name val="Franklin Gothic Book"/>
      <family val="2"/>
      <scheme val="minor"/>
    </font>
    <font>
      <sz val="11"/>
      <color theme="0" tint="-0.499984740745262"/>
      <name val="Calibri"/>
      <family val="2"/>
    </font>
    <font>
      <sz val="40"/>
      <color theme="7" tint="-0.499984740745262"/>
      <name val="Franklin Gothic Medium"/>
      <family val="2"/>
      <scheme val="major"/>
    </font>
    <font>
      <sz val="40"/>
      <color theme="3" tint="-0.499984740745262"/>
      <name val="Franklin Gothic Medium"/>
      <family val="2"/>
      <scheme val="major"/>
    </font>
    <font>
      <b/>
      <sz val="22"/>
      <color theme="0" tint="-0.499984740745262"/>
      <name val="Franklin Gothic Book"/>
      <family val="2"/>
      <scheme val="minor"/>
    </font>
    <font>
      <sz val="11"/>
      <color theme="0" tint="-0.499984740745262"/>
      <name val="Franklin Gothic Book"/>
      <family val="2"/>
      <scheme val="minor"/>
    </font>
    <font>
      <sz val="42"/>
      <color theme="3" tint="-0.499984740745262"/>
      <name val="Franklin Gothic Medium"/>
      <family val="2"/>
      <scheme val="maj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b/>
      <sz val="9"/>
      <color theme="1" tint="4.9989318521683403E-2"/>
      <name val="Franklin Gothic Book"/>
      <family val="2"/>
      <scheme val="minor"/>
    </font>
    <font>
      <b/>
      <sz val="9"/>
      <color theme="3" tint="-0.249977111117893"/>
      <name val="Franklin Gothic Book"/>
      <family val="2"/>
      <scheme val="minor"/>
    </font>
    <font>
      <b/>
      <sz val="9"/>
      <color theme="0"/>
      <name val="Franklin Gothic Book"/>
      <family val="2"/>
      <scheme val="minor"/>
    </font>
    <font>
      <b/>
      <sz val="9"/>
      <color theme="1"/>
      <name val="Franklin Gothic Book"/>
      <family val="2"/>
      <scheme val="minor"/>
    </font>
    <font>
      <sz val="14"/>
      <color theme="0"/>
      <name val="Franklin Gothic Medium"/>
      <family val="2"/>
      <scheme val="major"/>
    </font>
    <font>
      <sz val="10"/>
      <color theme="0"/>
      <name val="Franklin Gothic Book"/>
      <family val="2"/>
      <scheme val="minor"/>
    </font>
    <font>
      <sz val="22"/>
      <color theme="7" tint="-0.499984740745262"/>
      <name val="Franklin Gothic Medium"/>
      <family val="2"/>
      <scheme val="major"/>
    </font>
    <font>
      <sz val="28"/>
      <color theme="7" tint="-0.499984740745262"/>
      <name val="Franklin Gothic Medium"/>
      <family val="2"/>
      <scheme val="major"/>
    </font>
    <font>
      <b/>
      <sz val="22"/>
      <color theme="7" tint="-0.499984740745262"/>
      <name val="Franklin Gothic Medium"/>
      <family val="2"/>
      <scheme val="major"/>
    </font>
    <font>
      <sz val="14"/>
      <color theme="1" tint="0.14999847407452621"/>
      <name val="Franklin Gothic Medium"/>
      <family val="2"/>
      <scheme val="major"/>
    </font>
    <font>
      <sz val="14"/>
      <color theme="1"/>
      <name val="Franklin Gothic Medium"/>
      <family val="2"/>
      <scheme val="major"/>
    </font>
    <font>
      <sz val="10"/>
      <color theme="1"/>
      <name val="Franklin Gothic Book"/>
      <family val="2"/>
      <scheme val="minor"/>
    </font>
    <font>
      <sz val="40"/>
      <color rgb="FF0E668B"/>
      <name val="Franklin Gothic Medium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-0.24994659260841701"/>
        <bgColor indexed="65"/>
      </patternFill>
    </fill>
    <fill>
      <patternFill patternType="solid">
        <fgColor theme="6" tint="-0.499984740745262"/>
        <bgColor indexed="65"/>
      </patternFill>
    </fill>
    <fill>
      <patternFill patternType="lightDown">
        <fgColor theme="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/>
      </right>
      <top style="thin">
        <color theme="7" tint="0.59996337778862885"/>
      </top>
      <bottom style="thin">
        <color theme="0"/>
      </bottom>
      <diagonal/>
    </border>
    <border>
      <left style="thin">
        <color theme="0"/>
      </left>
      <right/>
      <top style="thin">
        <color theme="7" tint="0.59996337778862885"/>
      </top>
      <bottom style="thin">
        <color theme="0"/>
      </bottom>
      <diagonal/>
    </border>
    <border>
      <left style="thin">
        <color theme="7" tint="0.599963377788628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59996337778862885"/>
      </left>
      <right style="thin">
        <color theme="0"/>
      </right>
      <top style="thin">
        <color theme="0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 style="thin">
        <color theme="7" tint="0.59996337778862885"/>
      </bottom>
      <diagonal/>
    </border>
    <border>
      <left style="thin">
        <color theme="5" tint="0.59996337778862885"/>
      </left>
      <right style="thin">
        <color theme="0"/>
      </right>
      <top style="thin">
        <color theme="5" tint="0.59996337778862885"/>
      </top>
      <bottom style="thin">
        <color theme="0"/>
      </bottom>
      <diagonal/>
    </border>
    <border>
      <left style="thin">
        <color theme="0"/>
      </left>
      <right/>
      <top style="thin">
        <color theme="5" tint="0.59996337778862885"/>
      </top>
      <bottom style="thin">
        <color theme="0"/>
      </bottom>
      <diagonal/>
    </border>
    <border>
      <left style="thin">
        <color theme="5" tint="0.599963377788628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 tint="0.59996337778862885"/>
      </left>
      <right style="thin">
        <color theme="0"/>
      </right>
      <top style="thin">
        <color theme="0"/>
      </top>
      <bottom style="thin">
        <color theme="5" tint="0.59996337778862885"/>
      </bottom>
      <diagonal/>
    </border>
    <border>
      <left style="thin">
        <color theme="0"/>
      </left>
      <right/>
      <top style="thin">
        <color theme="0"/>
      </top>
      <bottom style="thin">
        <color theme="5" tint="0.59996337778862885"/>
      </bottom>
      <diagonal/>
    </border>
    <border>
      <left style="thin">
        <color theme="8" tint="0.79998168889431442"/>
      </left>
      <right style="thin">
        <color theme="0"/>
      </right>
      <top style="thin">
        <color theme="8" tint="0.79998168889431442"/>
      </top>
      <bottom style="thin">
        <color theme="0"/>
      </bottom>
      <diagonal/>
    </border>
    <border>
      <left style="thin">
        <color theme="0"/>
      </left>
      <right/>
      <top style="thin">
        <color theme="8" tint="0.79998168889431442"/>
      </top>
      <bottom style="thin">
        <color theme="0"/>
      </bottom>
      <diagonal/>
    </border>
    <border>
      <left style="thin">
        <color theme="8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79998168889431442"/>
      </left>
      <right style="thin">
        <color theme="0"/>
      </right>
      <top style="thin">
        <color theme="0"/>
      </top>
      <bottom style="thin">
        <color theme="8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8" tint="0.79998168889431442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</borders>
  <cellStyleXfs count="8">
    <xf numFmtId="0" fontId="0" fillId="0" borderId="0"/>
    <xf numFmtId="0" fontId="8" fillId="0" borderId="0"/>
    <xf numFmtId="0" fontId="10" fillId="7" borderId="3">
      <alignment horizontal="center" vertical="center"/>
    </xf>
    <xf numFmtId="0" fontId="11" fillId="0" borderId="3" applyNumberFormat="0">
      <alignment horizontal="center" vertical="center"/>
    </xf>
    <xf numFmtId="0" fontId="12" fillId="8" borderId="3">
      <alignment horizontal="center" vertical="center"/>
    </xf>
    <xf numFmtId="0" fontId="10" fillId="2" borderId="3">
      <alignment horizontal="center" vertical="center"/>
    </xf>
    <xf numFmtId="0" fontId="12" fillId="9" borderId="3" applyNumberFormat="0">
      <alignment horizontal="center" vertical="center"/>
    </xf>
    <xf numFmtId="0" fontId="13" fillId="10" borderId="3" applyNumberFormat="0">
      <alignment horizontal="center" vertical="center"/>
    </xf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164" fontId="15" fillId="6" borderId="5" xfId="0" applyNumberFormat="1" applyFont="1" applyFill="1" applyBorder="1" applyAlignment="1">
      <alignment horizontal="center" vertical="center"/>
    </xf>
    <xf numFmtId="164" fontId="15" fillId="6" borderId="9" xfId="0" applyNumberFormat="1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17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 indent="1"/>
    </xf>
    <xf numFmtId="0" fontId="21" fillId="3" borderId="9" xfId="0" applyFont="1" applyFill="1" applyBorder="1" applyAlignment="1">
      <alignment horizontal="right" vertical="center" indent="1"/>
    </xf>
    <xf numFmtId="0" fontId="21" fillId="4" borderId="9" xfId="0" applyFont="1" applyFill="1" applyBorder="1" applyAlignment="1">
      <alignment horizontal="right" vertical="center" indent="1"/>
    </xf>
    <xf numFmtId="0" fontId="21" fillId="5" borderId="9" xfId="0" applyFont="1" applyFill="1" applyBorder="1" applyAlignment="1">
      <alignment horizontal="righ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21" fillId="4" borderId="15" xfId="0" applyFont="1" applyFill="1" applyBorder="1" applyAlignment="1">
      <alignment horizontal="right" vertical="center" indent="1"/>
    </xf>
    <xf numFmtId="0" fontId="21" fillId="4" borderId="18" xfId="0" applyFont="1" applyFill="1" applyBorder="1" applyAlignment="1">
      <alignment horizontal="right" vertical="center" indent="1"/>
    </xf>
    <xf numFmtId="0" fontId="21" fillId="3" borderId="20" xfId="0" applyFont="1" applyFill="1" applyBorder="1" applyAlignment="1">
      <alignment horizontal="right" vertical="center" indent="1"/>
    </xf>
    <xf numFmtId="0" fontId="21" fillId="3" borderId="23" xfId="0" applyFont="1" applyFill="1" applyBorder="1" applyAlignment="1">
      <alignment horizontal="right" vertical="center" indent="1"/>
    </xf>
    <xf numFmtId="0" fontId="0" fillId="0" borderId="13" xfId="0" applyBorder="1" applyAlignment="1">
      <alignment horizontal="left" vertical="center" indent="1"/>
    </xf>
    <xf numFmtId="0" fontId="21" fillId="5" borderId="25" xfId="0" applyFont="1" applyFill="1" applyBorder="1" applyAlignment="1">
      <alignment horizontal="right" vertical="center" indent="1"/>
    </xf>
    <xf numFmtId="0" fontId="21" fillId="5" borderId="28" xfId="0" applyFont="1" applyFill="1" applyBorder="1" applyAlignment="1">
      <alignment horizontal="right" vertical="center" indent="1"/>
    </xf>
    <xf numFmtId="0" fontId="0" fillId="0" borderId="29" xfId="0" applyBorder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14" fillId="6" borderId="5" xfId="0" applyFont="1" applyFill="1" applyBorder="1" applyAlignment="1">
      <alignment horizontal="left" vertical="center" indent="1"/>
    </xf>
    <xf numFmtId="0" fontId="20" fillId="0" borderId="0" xfId="0" applyFont="1" applyAlignment="1">
      <alignment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0" fillId="5" borderId="2" xfId="0" applyFill="1" applyBorder="1"/>
    <xf numFmtId="0" fontId="0" fillId="4" borderId="2" xfId="0" applyFill="1" applyBorder="1"/>
    <xf numFmtId="0" fontId="0" fillId="3" borderId="2" xfId="0" applyFill="1" applyBorder="1"/>
    <xf numFmtId="167" fontId="0" fillId="0" borderId="10" xfId="0" applyNumberFormat="1" applyBorder="1" applyAlignment="1">
      <alignment horizontal="left" vertical="center" indent="1"/>
    </xf>
    <xf numFmtId="167" fontId="0" fillId="0" borderId="11" xfId="0" applyNumberFormat="1" applyBorder="1" applyAlignment="1">
      <alignment horizontal="left" vertical="center" indent="1"/>
    </xf>
    <xf numFmtId="165" fontId="14" fillId="6" borderId="8" xfId="0" applyNumberFormat="1" applyFont="1" applyFill="1" applyBorder="1" applyAlignment="1">
      <alignment horizontal="center" vertical="center"/>
    </xf>
    <xf numFmtId="165" fontId="14" fillId="6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wrapText="1"/>
    </xf>
    <xf numFmtId="0" fontId="20" fillId="5" borderId="24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0" fillId="12" borderId="0" xfId="0" applyFill="1" applyAlignment="1">
      <alignment horizontal="right" vertical="center" indent="1"/>
    </xf>
    <xf numFmtId="0" fontId="0" fillId="12" borderId="30" xfId="0" applyFill="1" applyBorder="1" applyAlignment="1">
      <alignment horizontal="right" vertical="center" indent="1"/>
    </xf>
    <xf numFmtId="0" fontId="0" fillId="12" borderId="31" xfId="0" applyFill="1" applyBorder="1" applyAlignment="1">
      <alignment horizontal="right" vertical="center" indent="1"/>
    </xf>
    <xf numFmtId="0" fontId="0" fillId="12" borderId="32" xfId="0" applyFill="1" applyBorder="1" applyAlignment="1">
      <alignment horizontal="right" vertical="center" indent="1"/>
    </xf>
    <xf numFmtId="0" fontId="0" fillId="12" borderId="33" xfId="0" applyFill="1" applyBorder="1" applyAlignment="1">
      <alignment horizontal="right" vertical="center" indent="1"/>
    </xf>
    <xf numFmtId="0" fontId="0" fillId="12" borderId="4" xfId="0" applyFill="1" applyBorder="1" applyAlignment="1">
      <alignment horizontal="right" vertical="center" indent="1"/>
    </xf>
    <xf numFmtId="0" fontId="19" fillId="3" borderId="19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</cellXfs>
  <cellStyles count="8">
    <cellStyle name="Día libre" xfId="3" xr:uid="{00000000-0005-0000-0000-000000000000}"/>
    <cellStyle name="Días feriados" xfId="6" xr:uid="{00000000-0005-0000-0000-000003000000}"/>
    <cellStyle name="No laborable" xfId="7" xr:uid="{00000000-0005-0000-0000-000005000000}"/>
    <cellStyle name="Normal" xfId="0" builtinId="0"/>
    <cellStyle name="Normal 2" xfId="1" xr:uid="{00000000-0005-0000-0000-000007000000}"/>
    <cellStyle name="Turno de día" xfId="2" xr:uid="{00000000-0005-0000-0000-000001000000}"/>
    <cellStyle name="Turno de noche" xfId="4" xr:uid="{00000000-0005-0000-0000-000004000000}"/>
    <cellStyle name="Turno día/noche" xfId="5" xr:uid="{00000000-0005-0000-0000-000002000000}"/>
  </cellStyles>
  <dxfs count="6"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E66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Spin" dx="16" fmlaLink="AñoCalendario" max="2999" min="1900" page="10" val="202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0</xdr:row>
          <xdr:rowOff>312420</xdr:rowOff>
        </xdr:from>
        <xdr:to>
          <xdr:col>33</xdr:col>
          <xdr:colOff>213360</xdr:colOff>
          <xdr:row>0</xdr:row>
          <xdr:rowOff>617220</xdr:rowOff>
        </xdr:to>
        <xdr:sp macro="" textlink="">
          <xdr:nvSpPr>
            <xdr:cNvPr id="1025" name="Indicador giratorio" descr="Utiliza los botones de flecha para cambiar de año calendario o para cambiar el año en la celda A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Shift Work Calendar">
  <a:themeElements>
    <a:clrScheme name="Letterhead-1">
      <a:dk1>
        <a:srgbClr val="000000"/>
      </a:dk1>
      <a:lt1>
        <a:srgbClr val="FFFFFF"/>
      </a:lt1>
      <a:dk2>
        <a:srgbClr val="5E5E5E"/>
      </a:dk2>
      <a:lt2>
        <a:srgbClr val="D6D5D5"/>
      </a:lt2>
      <a:accent1>
        <a:srgbClr val="DF2D25"/>
      </a:accent1>
      <a:accent2>
        <a:srgbClr val="F9D423"/>
      </a:accent2>
      <a:accent3>
        <a:srgbClr val="62C99E"/>
      </a:accent3>
      <a:accent4>
        <a:srgbClr val="45B9EC"/>
      </a:accent4>
      <a:accent5>
        <a:srgbClr val="9B4BA6"/>
      </a:accent5>
      <a:accent6>
        <a:srgbClr val="EF2F94"/>
      </a:accent6>
      <a:hlink>
        <a:srgbClr val="0000FF"/>
      </a:hlink>
      <a:folHlink>
        <a:srgbClr val="FF00FF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h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38100" tIns="38100" rIns="38100" bIns="381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0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  <a:extLst>
    <a:ext uri="{05A4C25C-085E-4340-85A3-A5531E510DB2}">
      <thm15:themeFamily xmlns:thm15="http://schemas.microsoft.com/office/thememl/2012/main" name=" ShiftCalendar" id="{C0C15053-41A7-A842-8BD5-207B5038EBEC}" vid="{EDF4B661-04CF-B74B-852D-F3AE147C5ED3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75"/>
  <sheetViews>
    <sheetView showGridLines="0" tabSelected="1" topLeftCell="A18" zoomScaleNormal="100" workbookViewId="0"/>
  </sheetViews>
  <sheetFormatPr baseColWidth="10" defaultColWidth="0" defaultRowHeight="18.899999999999999" customHeight="1" x14ac:dyDescent="0.35"/>
  <cols>
    <col min="1" max="1" width="1.81640625" style="8" customWidth="1"/>
    <col min="2" max="2" width="21.81640625" style="8" customWidth="1"/>
    <col min="3" max="39" width="3.36328125" style="8" customWidth="1"/>
    <col min="40" max="40" width="1.81640625" style="8" customWidth="1"/>
    <col min="41" max="16384" width="8.90625" style="8" hidden="1"/>
  </cols>
  <sheetData>
    <row r="1" spans="2:39" s="1" customFormat="1" ht="65.25" customHeight="1" x14ac:dyDescent="1.1000000000000001"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7"/>
      <c r="AH1" s="50">
        <v>2021</v>
      </c>
      <c r="AI1" s="50"/>
      <c r="AJ1" s="50"/>
      <c r="AK1" s="50"/>
      <c r="AL1" s="50"/>
      <c r="AM1" s="50"/>
    </row>
    <row r="2" spans="2:39" customFormat="1" ht="9" customHeight="1" x14ac:dyDescent="0.35"/>
    <row r="3" spans="2:39" customFormat="1" ht="18.899999999999999" customHeight="1" x14ac:dyDescent="0.35">
      <c r="AC3" s="19" t="s">
        <v>7</v>
      </c>
      <c r="AD3" s="8"/>
      <c r="AE3" s="45"/>
      <c r="AF3" s="8"/>
      <c r="AG3" s="19" t="s">
        <v>8</v>
      </c>
      <c r="AH3" s="8"/>
      <c r="AI3" s="44"/>
      <c r="AJ3" s="8"/>
      <c r="AK3" s="19" t="s">
        <v>10</v>
      </c>
      <c r="AL3" s="8"/>
      <c r="AM3" s="43"/>
    </row>
    <row r="4" spans="2:39" customFormat="1" ht="9" customHeight="1" x14ac:dyDescent="0.35"/>
    <row r="5" spans="2:39" s="12" customFormat="1" ht="18.899999999999999" customHeight="1" x14ac:dyDescent="0.35">
      <c r="B5" s="48">
        <f>DATE(AñoCalendario,1,1)</f>
        <v>44197</v>
      </c>
      <c r="C5" s="14" t="str" cm="1">
        <f t="array" ref="C5">IF(DAY(EneDom1)=1,"",IF(AND(YEAR(EneDom1+1)=AñoCalendario,MONTH(EneDom1+1)=1),EneDom1+1,""))</f>
        <v/>
      </c>
      <c r="D5" s="14" t="str" cm="1">
        <f t="array" ref="D5">IF(DAY(EneDom1)=1,"",IF(AND(YEAR(EneDom1+2)=AñoCalendario,MONTH(EneDom1+2)=1),EneDom1+2,""))</f>
        <v/>
      </c>
      <c r="E5" s="14" t="str" cm="1">
        <f t="array" ref="E5">IF(DAY(EneDom1)=1,"",IF(AND(YEAR(EneDom1+3)=AñoCalendario,MONTH(EneDom1+3)=1),EneDom1+3,""))</f>
        <v/>
      </c>
      <c r="F5" s="14" t="str" cm="1">
        <f t="array" ref="F5">IF(DAY(EneDom1)=1,"",IF(AND(YEAR(EneDom1+4)=AñoCalendario,MONTH(EneDom1+4)=1),EneDom1+4,""))</f>
        <v/>
      </c>
      <c r="G5" s="14" t="str" cm="1">
        <f t="array" ref="G5">IF(DAY(EneDom1)=1,"",IF(AND(YEAR(EneDom1+5)=AñoCalendario,MONTH(EneDom1+5)=1),EneDom1+5,""))</f>
        <v/>
      </c>
      <c r="H5" s="14" cm="1">
        <f t="array" ref="H5">IF(DAY(EneDom1)=1,"",IF(AND(YEAR(EneDom1+6)=AñoCalendario,MONTH(EneDom1+6)=1),EneDom1+6,""))</f>
        <v>44197</v>
      </c>
      <c r="I5" s="14" cm="1">
        <f t="array" ref="I5">_xlfn.SINGLE(IF(DAY(EneDom1)=1,IF(AND(YEAR(EneDom1)=AñoCalendario,MONTH(EneDom1)=1),JanSun1,""),IF(AND(YEAR(EneDom1+7)=AñoCalendario,MONTH(EneDom1+7)=1),EneDom1+7,"")))</f>
        <v>44198</v>
      </c>
      <c r="J5" s="14" cm="1">
        <f t="array" ref="J5">IF(DAY(EneDom1)=1,IF(AND(YEAR(EneDom1+1)=AñoCalendario,MONTH(EneDom1+1)=1),EneDom1+1,""),IF(AND(YEAR(EneDom1+8)=AñoCalendario,MONTH(EneDom1+8)=1),EneDom1+8,""))</f>
        <v>44199</v>
      </c>
      <c r="K5" s="14" cm="1">
        <f t="array" ref="K5">IF(DAY(EneDom1)=1,IF(AND(YEAR(EneDom1+2)=AñoCalendario,MONTH(EneDom1+2)=1),EneDom1+2,""),IF(AND(YEAR(EneDom1+9)=AñoCalendario,MONTH(EneDom1+9)=1),EneDom1+9,""))</f>
        <v>44200</v>
      </c>
      <c r="L5" s="14" cm="1">
        <f t="array" ref="L5">IF(DAY(EneDom1)=1,IF(AND(YEAR(EneDom1+3)=AñoCalendario,MONTH(EneDom1+3)=1),EneDom1+3,""),IF(AND(YEAR(EneDom1+10)=AñoCalendario,MONTH(EneDom1+10)=1),EneDom1+10,""))</f>
        <v>44201</v>
      </c>
      <c r="M5" s="14" cm="1">
        <f t="array" ref="M5">IF(DAY(EneDom1)=1,IF(AND(YEAR(EneDom1+4)=AñoCalendario,MONTH(EneDom1+4)=1),EneDom1+4,""),IF(AND(YEAR(EneDom1+11)=AñoCalendario,MONTH(EneDom1+11)=1),EneDom1+11,""))</f>
        <v>44202</v>
      </c>
      <c r="N5" s="14" cm="1">
        <f t="array" ref="N5">IF(DAY(EneDom1)=1,IF(AND(YEAR(EneDom1+5)=AñoCalendario,MONTH(EneDom1+5)=1),EneDom1+5,""),IF(AND(YEAR(EneDom1+12)=AñoCalendario,MONTH(EneDom1+12)=1),EneDom1+12,""))</f>
        <v>44203</v>
      </c>
      <c r="O5" s="14" cm="1">
        <f t="array" ref="O5">IF(DAY(EneDom1)=1,IF(AND(YEAR(EneDom1+6)=AñoCalendario,MONTH(EneDom1+6)=1),EneDom1+6,""),IF(AND(YEAR(EneDom1+13)=AñoCalendario,MONTH(EneDom1+13)=1),EneDom1+13,""))</f>
        <v>44204</v>
      </c>
      <c r="P5" s="14" cm="1">
        <f t="array" ref="P5">IF(DAY(EneDom1)=1,IF(AND(YEAR(EneDom1+7)=AñoCalendario,MONTH(EneDom1+7)=1),EneDom1+7,""),IF(AND(YEAR(EneDom1+14)=AñoCalendario,MONTH(EneDom1+14)=1),EneDom1+14,""))</f>
        <v>44205</v>
      </c>
      <c r="Q5" s="14" cm="1">
        <f t="array" ref="Q5">IF(DAY(EneDom1)=1,IF(AND(YEAR(EneDom1+8)=AñoCalendario,MONTH(EneDom1+8)=1),EneDom1+8,""),IF(AND(YEAR(EneDom1+15)=AñoCalendario,MONTH(EneDom1+15)=1),EneDom1+15,""))</f>
        <v>44206</v>
      </c>
      <c r="R5" s="14" cm="1">
        <f t="array" ref="R5">IF(DAY(EneDom1)=1,IF(AND(YEAR(EneDom1+9)=AñoCalendario,MONTH(EneDom1+9)=1),EneDom1+9,""),IF(AND(YEAR(EneDom1+16)=AñoCalendario,MONTH(EneDom1+16)=1),EneDom1+16,""))</f>
        <v>44207</v>
      </c>
      <c r="S5" s="14" cm="1">
        <f t="array" ref="S5">IF(DAY(EneDom1)=1,IF(AND(YEAR(EneDom1+10)=AñoCalendario,MONTH(EneDom1+10)=1),EneDom1+10,""),IF(AND(YEAR(EneDom1+17)=AñoCalendario,MONTH(EneDom1+17)=1),EneDom1+17,""))</f>
        <v>44208</v>
      </c>
      <c r="T5" s="14" cm="1">
        <f t="array" ref="T5">IF(DAY(EneDom1)=1,IF(AND(YEAR(EneDom1+11)=AñoCalendario,MONTH(EneDom1+11)=1),EneDom1+11,""),IF(AND(YEAR(EneDom1+18)=AñoCalendario,MONTH(EneDom1+18)=1),EneDom1+18,""))</f>
        <v>44209</v>
      </c>
      <c r="U5" s="14" cm="1">
        <f t="array" ref="U5">IF(DAY(EneDom1)=1,IF(AND(YEAR(EneDom1+12)=AñoCalendario,MONTH(EneDom1+12)=1),EneDom1+12,""),IF(AND(YEAR(EneDom1+19)=AñoCalendario,MONTH(EneDom1+19)=1),EneDom1+19,""))</f>
        <v>44210</v>
      </c>
      <c r="V5" s="14" cm="1">
        <f t="array" ref="V5">IF(DAY(EneDom1)=1,IF(AND(YEAR(EneDom1+13)=AñoCalendario,MONTH(EneDom1+13)=1),EneDom1+13,""),IF(AND(YEAR(EneDom1+20)=AñoCalendario,MONTH(EneDom1+20)=1),EneDom1+20,""))</f>
        <v>44211</v>
      </c>
      <c r="W5" s="14" cm="1">
        <f t="array" ref="W5">IF(DAY(EneDom1)=1,IF(AND(YEAR(EneDom1+14)=AñoCalendario,MONTH(EneDom1+14)=1),EneDom1+14,""),IF(AND(YEAR(EneDom1+21)=AñoCalendario,MONTH(EneDom1+21)=1),EneDom1+21,""))</f>
        <v>44212</v>
      </c>
      <c r="X5" s="14" cm="1">
        <f t="array" ref="X5">IF(DAY(EneDom1)=1,IF(AND(YEAR(EneDom1+15)=AñoCalendario,MONTH(EneDom1+15)=1),EneDom1+15,""),IF(AND(YEAR(EneDom1+22)=AñoCalendario,MONTH(EneDom1+22)=1),EneDom1+22,""))</f>
        <v>44213</v>
      </c>
      <c r="Y5" s="14" cm="1">
        <f t="array" ref="Y5">IF(DAY(EneDom1)=1,IF(AND(YEAR(EneDom1+16)=AñoCalendario,MONTH(EneDom1+16)=1),EneDom1+16,""),IF(AND(YEAR(EneDom1+23)=AñoCalendario,MONTH(EneDom1+23)=1),EneDom1+23,""))</f>
        <v>44214</v>
      </c>
      <c r="Z5" s="14" cm="1">
        <f t="array" ref="Z5">IF(DAY(EneDom1)=1,IF(AND(YEAR(EneDom1+17)=AñoCalendario,MONTH(EneDom1+17)=1),EneDom1+17,""),IF(AND(YEAR(EneDom1+24)=AñoCalendario,MONTH(EneDom1+24)=1),EneDom1+24,""))</f>
        <v>44215</v>
      </c>
      <c r="AA5" s="14" cm="1">
        <f t="array" ref="AA5">IF(DAY(EneDom1)=1,IF(AND(YEAR(EneDom1+18)=AñoCalendario,MONTH(EneDom1+18)=1),EneDom1+18,""),IF(AND(YEAR(EneDom1+25)=AñoCalendario,MONTH(EneDom1+25)=1),EneDom1+25,""))</f>
        <v>44216</v>
      </c>
      <c r="AB5" s="14" cm="1">
        <f t="array" ref="AB5">IF(DAY(EneDom1)=1,IF(AND(YEAR(EneDom1+19)=AñoCalendario,MONTH(EneDom1+19)=1),EneDom1+19,""),IF(AND(YEAR(EneDom1+26)=AñoCalendario,MONTH(EneDom1+26)=1),EneDom1+26,""))</f>
        <v>44217</v>
      </c>
      <c r="AC5" s="14" cm="1">
        <f t="array" ref="AC5">IF(DAY(EneDom1)=1,IF(AND(YEAR(EneDom1+20)=AñoCalendario,MONTH(EneDom1+20)=1),EneDom1+20,""),IF(AND(YEAR(EneDom1+27)=AñoCalendario,MONTH(EneDom1+27)=1),EneDom1+27,""))</f>
        <v>44218</v>
      </c>
      <c r="AD5" s="14" cm="1">
        <f t="array" ref="AD5">IF(DAY(EneDom1)=1,IF(AND(YEAR(EneDom1+21)=AñoCalendario,MONTH(EneDom1+21)=1),EneDom1+21,""),IF(AND(YEAR(EneDom1+28)=AñoCalendario,MONTH(EneDom1+28)=1),EneDom1+28,""))</f>
        <v>44219</v>
      </c>
      <c r="AE5" s="14" cm="1">
        <f t="array" ref="AE5">IF(DAY(EneDom1)=1,IF(AND(YEAR(EneDom1+22)=AñoCalendario,MONTH(EneDom1+22)=1),EneDom1+22,""),IF(AND(YEAR(EneDom1+29)=AñoCalendario,MONTH(EneDom1+29)=1),EneDom1+29,""))</f>
        <v>44220</v>
      </c>
      <c r="AF5" s="14" cm="1">
        <f t="array" ref="AF5">IF(DAY(EneDom1)=1,IF(AND(YEAR(EneDom1+23)=AñoCalendario,MONTH(EneDom1+23)=1),EneDom1+23,""),IF(AND(YEAR(EneDom1+30)=AñoCalendario,MONTH(EneDom1+30)=1),EneDom1+30,""))</f>
        <v>44221</v>
      </c>
      <c r="AG5" s="14" cm="1">
        <f t="array" ref="AG5">IF(DAY(EneDom1)=1,IF(AND(YEAR(EneDom1+24)=AñoCalendario,MONTH(EneDom1+24)=1),EneDom1+24,""),IF(AND(YEAR(EneDom1+31)=AñoCalendario,MONTH(EneDom1+31)=1),EneDom1+31,""))</f>
        <v>44222</v>
      </c>
      <c r="AH5" s="14" cm="1">
        <f t="array" ref="AH5">IF(DAY(EneDom1)=1,IF(AND(YEAR(EneDom1+25)=AñoCalendario,MONTH(EneDom1+25)=1),EneDom1+25,""),IF(AND(YEAR(EneDom1+32)=AñoCalendario,MONTH(EneDom1+32)=1),EneDom1+32,""))</f>
        <v>44223</v>
      </c>
      <c r="AI5" s="14" cm="1">
        <f t="array" ref="AI5">IF(DAY(EneDom1)=1,IF(AND(YEAR(EneDom1+26)=AñoCalendario,MONTH(EneDom1+26)=1),EneDom1+26,""),IF(AND(YEAR(EneDom1+33)=AñoCalendario,MONTH(EneDom1+33)=1),EneDom1+33,""))</f>
        <v>44224</v>
      </c>
      <c r="AJ5" s="14" cm="1">
        <f t="array" ref="AJ5">IF(DAY(EneDom1)=1,IF(AND(YEAR(EneDom1+27)=AñoCalendario,MONTH(EneDom1+27)=1),EneDom1+27,""),IF(AND(YEAR(EneDom1+34)=AñoCalendario,MONTH(EneDom1+34)=1),EneDom1+34,""))</f>
        <v>44225</v>
      </c>
      <c r="AK5" s="14" cm="1">
        <f t="array" ref="AK5">IF(DAY(EneDom1)=1,IF(AND(YEAR(EneDom1+28)=AñoCalendario,MONTH(EneDom1+28)=1),EneDom1+28,""),IF(AND(YEAR(EneDom1+35)=AñoCalendario,MONTH(EneDom1+35)=1),EneDom1+35,""))</f>
        <v>44226</v>
      </c>
      <c r="AL5" s="14" cm="1">
        <f t="array" ref="AL5">IF(DAY(EneDom1)=1,IF(AND(YEAR(EneDom1+29)=AñoCalendario,MONTH(EneDom1+29)=1),EneDom1+29,""),IF(AND(YEAR(EneDom1+36)=AñoCalendario,MONTH(EneDom1+36)=1),EneDom1+36,""))</f>
        <v>44227</v>
      </c>
      <c r="AM5" s="15" t="str" cm="1">
        <f t="array" ref="AM5">IF(DAY(EneDom1)=1,IF(AND(YEAR(EneDom1+30)=AñoCalendario,MONTH(EneDom1+30)=1),EneDom1+30,""),IF(AND(YEAR(EneDom1+37)=AñoCalendario,MONTH(EneDom1+37)=1),EneDom1+37,""))</f>
        <v/>
      </c>
    </row>
    <row r="6" spans="2:39" s="12" customFormat="1" ht="18.899999999999999" customHeight="1" x14ac:dyDescent="0.35">
      <c r="B6" s="49"/>
      <c r="C6" s="13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0</v>
      </c>
      <c r="K6" s="13" t="s">
        <v>1</v>
      </c>
      <c r="L6" s="13" t="s">
        <v>2</v>
      </c>
      <c r="M6" s="13" t="s">
        <v>3</v>
      </c>
      <c r="N6" s="13" t="s">
        <v>4</v>
      </c>
      <c r="O6" s="13" t="s">
        <v>5</v>
      </c>
      <c r="P6" s="13" t="s">
        <v>6</v>
      </c>
      <c r="Q6" s="13" t="s">
        <v>0</v>
      </c>
      <c r="R6" s="13" t="s">
        <v>1</v>
      </c>
      <c r="S6" s="13" t="s">
        <v>2</v>
      </c>
      <c r="T6" s="13" t="s">
        <v>3</v>
      </c>
      <c r="U6" s="13" t="s">
        <v>4</v>
      </c>
      <c r="V6" s="13" t="s">
        <v>5</v>
      </c>
      <c r="W6" s="13" t="s">
        <v>6</v>
      </c>
      <c r="X6" s="13" t="s">
        <v>0</v>
      </c>
      <c r="Y6" s="13" t="s">
        <v>1</v>
      </c>
      <c r="Z6" s="13" t="s">
        <v>2</v>
      </c>
      <c r="AA6" s="13" t="s">
        <v>3</v>
      </c>
      <c r="AB6" s="13" t="s">
        <v>4</v>
      </c>
      <c r="AC6" s="13" t="s">
        <v>5</v>
      </c>
      <c r="AD6" s="13" t="s">
        <v>6</v>
      </c>
      <c r="AE6" s="13" t="s">
        <v>0</v>
      </c>
      <c r="AF6" s="13" t="s">
        <v>1</v>
      </c>
      <c r="AG6" s="13" t="s">
        <v>9</v>
      </c>
      <c r="AH6" s="13" t="s">
        <v>3</v>
      </c>
      <c r="AI6" s="13" t="s">
        <v>4</v>
      </c>
      <c r="AJ6" s="13" t="s">
        <v>5</v>
      </c>
      <c r="AK6" s="13" t="s">
        <v>6</v>
      </c>
      <c r="AL6" s="13" t="s">
        <v>0</v>
      </c>
      <c r="AM6" s="16" t="s">
        <v>1</v>
      </c>
    </row>
    <row r="7" spans="2:39" ht="18.899999999999999" customHeight="1" x14ac:dyDescent="0.35">
      <c r="B7" s="10" t="str">
        <f>IF(Trabajo1_Nombre="","",Trabajo1_Nombre)</f>
        <v>Trabajo 1</v>
      </c>
      <c r="C7" s="41" t="str">
        <f t="shared" ref="C7:AM7" si="0">IF(OR(NOT(ISNUMBER(C5)),C5&lt;Trabajo1_DíaInicio),"",IF(MID(Trabajo1_Patrón,MOD(C5-Trabajo1_DíaInicio,LEN(Trabajo1_Patrón))+1,1)=Trabajo1_Turno1_Código,1,IF(MID(Trabajo1_Patrón,MOD(C5-Trabajo1_DíaInicio,LEN(Trabajo1_Patrón))+1,1)=Trabajo1_Turno2_Código,2,IF(MID(Trabajo1_Patrón,MOD(C5-Trabajo1_DíaInicio,LEN(Trabajo1_Patrón))+1,1)=Trabajo1_Turno3_Código,3,""))))</f>
        <v/>
      </c>
      <c r="D7" s="41" t="str">
        <f t="shared" si="0"/>
        <v/>
      </c>
      <c r="E7" s="41" t="str">
        <f t="shared" si="0"/>
        <v/>
      </c>
      <c r="F7" s="41" t="str">
        <f t="shared" si="0"/>
        <v/>
      </c>
      <c r="G7" s="41" t="str">
        <f t="shared" si="0"/>
        <v/>
      </c>
      <c r="H7" s="41" t="str">
        <f t="shared" si="0"/>
        <v/>
      </c>
      <c r="I7" s="41" t="str">
        <f t="shared" si="0"/>
        <v/>
      </c>
      <c r="J7" s="41" t="str">
        <f t="shared" si="0"/>
        <v/>
      </c>
      <c r="K7" s="41" t="str">
        <f t="shared" si="0"/>
        <v/>
      </c>
      <c r="L7" s="41">
        <f t="shared" si="0"/>
        <v>1</v>
      </c>
      <c r="M7" s="41">
        <f t="shared" si="0"/>
        <v>1</v>
      </c>
      <c r="N7" s="41">
        <f t="shared" si="0"/>
        <v>1</v>
      </c>
      <c r="O7" s="41">
        <f t="shared" si="0"/>
        <v>1</v>
      </c>
      <c r="P7" s="41" t="str">
        <f t="shared" si="0"/>
        <v/>
      </c>
      <c r="Q7" s="41" t="str">
        <f t="shared" si="0"/>
        <v/>
      </c>
      <c r="R7" s="41">
        <f t="shared" si="0"/>
        <v>2</v>
      </c>
      <c r="S7" s="41">
        <f t="shared" si="0"/>
        <v>2</v>
      </c>
      <c r="T7" s="41">
        <f t="shared" si="0"/>
        <v>2</v>
      </c>
      <c r="U7" s="41">
        <f t="shared" si="0"/>
        <v>2</v>
      </c>
      <c r="V7" s="41" t="str">
        <f t="shared" si="0"/>
        <v/>
      </c>
      <c r="W7" s="41" t="str">
        <f t="shared" si="0"/>
        <v/>
      </c>
      <c r="X7" s="41">
        <f t="shared" si="0"/>
        <v>1</v>
      </c>
      <c r="Y7" s="41">
        <f t="shared" si="0"/>
        <v>1</v>
      </c>
      <c r="Z7" s="41">
        <f t="shared" si="0"/>
        <v>1</v>
      </c>
      <c r="AA7" s="41" t="str">
        <f t="shared" si="0"/>
        <v/>
      </c>
      <c r="AB7" s="41">
        <f t="shared" si="0"/>
        <v>2</v>
      </c>
      <c r="AC7" s="41">
        <f t="shared" si="0"/>
        <v>2</v>
      </c>
      <c r="AD7" s="41">
        <f t="shared" si="0"/>
        <v>2</v>
      </c>
      <c r="AE7" s="41" t="str">
        <f t="shared" si="0"/>
        <v/>
      </c>
      <c r="AF7" s="41" t="str">
        <f t="shared" si="0"/>
        <v/>
      </c>
      <c r="AG7" s="41" t="str">
        <f t="shared" si="0"/>
        <v/>
      </c>
      <c r="AH7" s="41">
        <f t="shared" si="0"/>
        <v>1</v>
      </c>
      <c r="AI7" s="41">
        <f t="shared" si="0"/>
        <v>1</v>
      </c>
      <c r="AJ7" s="41" t="str">
        <f t="shared" si="0"/>
        <v/>
      </c>
      <c r="AK7" s="41">
        <f t="shared" si="0"/>
        <v>2</v>
      </c>
      <c r="AL7" s="41">
        <f t="shared" si="0"/>
        <v>2</v>
      </c>
      <c r="AM7" s="41" t="str">
        <f t="shared" si="0"/>
        <v/>
      </c>
    </row>
    <row r="8" spans="2:39" ht="18.899999999999999" customHeight="1" x14ac:dyDescent="0.35">
      <c r="B8" s="11" t="str">
        <f>IF(Trabajo2_Nombre="","",Trabajo2_Nombre)</f>
        <v>Trabajo 2</v>
      </c>
      <c r="C8" s="42" t="str">
        <f t="shared" ref="C8:AM8" si="1">IF(OR(NOT(ISNUMBER(C5)),C5&lt;Trabajo2_DíaInicio),"",IF(MID(Trabajo2_Patrón,MOD(C5-Trabajo2_DíaInicio,LEN(Trabajo2_Patrón))+1,1)=Trabajo2_Turno1_Código,1,IF(MID(Trabajo2_Patrón,MOD(C5-Trabajo2_DíaInicio,LEN(Trabajo2_Patrón))+1,1)=Trabajo2_Turno2_Código,2,IF(MID(Trabajo2_Patrón,MOD(C5-Trabajo2_DíaInicio,LEN(Trabajo2_Patrón))+1,1)=Trabajo2_Turno3_Código,3,""))))</f>
        <v/>
      </c>
      <c r="D8" s="42" t="str">
        <f t="shared" si="1"/>
        <v/>
      </c>
      <c r="E8" s="42" t="str">
        <f t="shared" si="1"/>
        <v/>
      </c>
      <c r="F8" s="42" t="str">
        <f t="shared" si="1"/>
        <v/>
      </c>
      <c r="G8" s="42" t="str">
        <f t="shared" si="1"/>
        <v/>
      </c>
      <c r="H8" s="42" t="str">
        <f t="shared" si="1"/>
        <v/>
      </c>
      <c r="I8" s="42" t="str">
        <f t="shared" si="1"/>
        <v/>
      </c>
      <c r="J8" s="42" t="str">
        <f t="shared" si="1"/>
        <v/>
      </c>
      <c r="K8" s="42" t="str">
        <f t="shared" si="1"/>
        <v/>
      </c>
      <c r="L8" s="42" t="str">
        <f t="shared" si="1"/>
        <v/>
      </c>
      <c r="M8" s="42" t="str">
        <f t="shared" si="1"/>
        <v/>
      </c>
      <c r="N8" s="42" t="str">
        <f t="shared" si="1"/>
        <v/>
      </c>
      <c r="O8" s="42" t="str">
        <f t="shared" si="1"/>
        <v/>
      </c>
      <c r="P8" s="42" t="str">
        <f t="shared" si="1"/>
        <v/>
      </c>
      <c r="Q8" s="42" t="str">
        <f t="shared" si="1"/>
        <v/>
      </c>
      <c r="R8" s="42" t="str">
        <f t="shared" si="1"/>
        <v/>
      </c>
      <c r="S8" s="42" t="str">
        <f t="shared" si="1"/>
        <v/>
      </c>
      <c r="T8" s="42" t="str">
        <f t="shared" si="1"/>
        <v/>
      </c>
      <c r="U8" s="42" t="str">
        <f t="shared" si="1"/>
        <v/>
      </c>
      <c r="V8" s="42">
        <f t="shared" si="1"/>
        <v>2</v>
      </c>
      <c r="W8" s="42">
        <f t="shared" si="1"/>
        <v>2</v>
      </c>
      <c r="X8" s="42">
        <f t="shared" si="1"/>
        <v>2</v>
      </c>
      <c r="Y8" s="42">
        <f t="shared" si="1"/>
        <v>2</v>
      </c>
      <c r="Z8" s="42" t="str">
        <f t="shared" si="1"/>
        <v/>
      </c>
      <c r="AA8" s="42" t="str">
        <f t="shared" si="1"/>
        <v/>
      </c>
      <c r="AB8" s="42" t="str">
        <f t="shared" si="1"/>
        <v/>
      </c>
      <c r="AC8" s="42" t="str">
        <f t="shared" si="1"/>
        <v/>
      </c>
      <c r="AD8" s="42" t="str">
        <f t="shared" si="1"/>
        <v/>
      </c>
      <c r="AE8" s="42">
        <f t="shared" si="1"/>
        <v>1</v>
      </c>
      <c r="AF8" s="42" t="str">
        <f t="shared" si="1"/>
        <v/>
      </c>
      <c r="AG8" s="42" t="str">
        <f t="shared" si="1"/>
        <v/>
      </c>
      <c r="AH8" s="42">
        <f t="shared" si="1"/>
        <v>2</v>
      </c>
      <c r="AI8" s="42">
        <f t="shared" si="1"/>
        <v>2</v>
      </c>
      <c r="AJ8" s="42">
        <f t="shared" si="1"/>
        <v>2</v>
      </c>
      <c r="AK8" s="42" t="str">
        <f t="shared" si="1"/>
        <v/>
      </c>
      <c r="AL8" s="42" t="str">
        <f t="shared" si="1"/>
        <v/>
      </c>
      <c r="AM8" s="42" t="str">
        <f t="shared" si="1"/>
        <v/>
      </c>
    </row>
    <row r="9" spans="2:39" ht="18.899999999999999" customHeight="1" x14ac:dyDescent="0.35">
      <c r="B9" s="11" t="str">
        <f>_xlfn.SINGLE(IF(_xlfn.SINGLE(Trabajo3_Nombre)="","",Trabajo3_Nombre))</f>
        <v>Trabajo 3</v>
      </c>
      <c r="C9" s="42" t="str">
        <f t="shared" ref="C9:AM9" si="2">IF(OR(NOT(ISNUMBER(C5)),C5&lt;_xlfn.SINGLE(Trabajo3_DíaInicio)),"",IF(MID(_xlfn.SINGLE(Trabajo3_Patrón),MOD(C5-_xlfn.SINGLE(Trabajo3_DíaInicio),LEN(_xlfn.SINGLE(Trabajo3_Patrón)))+1,1)=_xlfn.SINGLE(Trabajo3_Turno1_Código),1,IF(MID(_xlfn.SINGLE(Trabajo3_Patrón),MOD(C5-_xlfn.SINGLE(Trabajo3_DíaInicio),LEN(_xlfn.SINGLE(Trabajo3_Patrón)))+1,1)=_xlfn.SINGLE(Trabajo3_Turno2_Código),2,IF(MID(_xlfn.SINGLE(Trabajo3_Patrón),MOD(C5-_xlfn.SINGLE(Trabajo3_DíaInicio),LEN(_xlfn.SINGLE(Trabajo3_Patrón)))+1,1)=_xlfn.SINGLE(Trabajo3_Turno3_Código),3,""))))</f>
        <v/>
      </c>
      <c r="D9" s="42" t="str">
        <f t="shared" si="2"/>
        <v/>
      </c>
      <c r="E9" s="42" t="str">
        <f t="shared" si="2"/>
        <v/>
      </c>
      <c r="F9" s="42" t="str">
        <f t="shared" si="2"/>
        <v/>
      </c>
      <c r="G9" s="42" t="str">
        <f t="shared" si="2"/>
        <v/>
      </c>
      <c r="H9" s="42" t="str">
        <f t="shared" si="2"/>
        <v/>
      </c>
      <c r="I9" s="42" t="str">
        <f t="shared" si="2"/>
        <v/>
      </c>
      <c r="J9" s="42" t="str">
        <f t="shared" si="2"/>
        <v/>
      </c>
      <c r="K9" s="42" t="str">
        <f t="shared" si="2"/>
        <v/>
      </c>
      <c r="L9" s="42" t="str">
        <f t="shared" si="2"/>
        <v/>
      </c>
      <c r="M9" s="42" t="str">
        <f t="shared" si="2"/>
        <v/>
      </c>
      <c r="N9" s="42" t="str">
        <f t="shared" si="2"/>
        <v/>
      </c>
      <c r="O9" s="42" t="str">
        <f t="shared" si="2"/>
        <v/>
      </c>
      <c r="P9" s="42" t="str">
        <f t="shared" si="2"/>
        <v/>
      </c>
      <c r="Q9" s="42" t="str">
        <f t="shared" si="2"/>
        <v/>
      </c>
      <c r="R9" s="42" t="str">
        <f t="shared" si="2"/>
        <v/>
      </c>
      <c r="S9" s="42" t="str">
        <f t="shared" si="2"/>
        <v/>
      </c>
      <c r="T9" s="42" t="str">
        <f t="shared" si="2"/>
        <v/>
      </c>
      <c r="U9" s="42" t="str">
        <f t="shared" si="2"/>
        <v/>
      </c>
      <c r="V9" s="42" t="str">
        <f t="shared" si="2"/>
        <v/>
      </c>
      <c r="W9" s="42" t="str">
        <f t="shared" si="2"/>
        <v/>
      </c>
      <c r="X9" s="42" t="str">
        <f t="shared" si="2"/>
        <v/>
      </c>
      <c r="Y9" s="42" t="str">
        <f t="shared" si="2"/>
        <v/>
      </c>
      <c r="Z9" s="42">
        <f t="shared" si="2"/>
        <v>3</v>
      </c>
      <c r="AA9" s="42">
        <f t="shared" si="2"/>
        <v>3</v>
      </c>
      <c r="AB9" s="42" t="str">
        <f t="shared" si="2"/>
        <v/>
      </c>
      <c r="AC9" s="42" t="str">
        <f t="shared" si="2"/>
        <v/>
      </c>
      <c r="AD9" s="42" t="str">
        <f t="shared" si="2"/>
        <v/>
      </c>
      <c r="AE9" s="42" t="str">
        <f t="shared" si="2"/>
        <v/>
      </c>
      <c r="AF9" s="42">
        <f t="shared" si="2"/>
        <v>3</v>
      </c>
      <c r="AG9" s="42">
        <f t="shared" si="2"/>
        <v>3</v>
      </c>
      <c r="AH9" s="42" t="str">
        <f t="shared" si="2"/>
        <v/>
      </c>
      <c r="AI9" s="42" t="str">
        <f t="shared" si="2"/>
        <v/>
      </c>
      <c r="AJ9" s="42" t="str">
        <f t="shared" si="2"/>
        <v/>
      </c>
      <c r="AK9" s="42" t="str">
        <f t="shared" si="2"/>
        <v/>
      </c>
      <c r="AL9" s="42">
        <f t="shared" si="2"/>
        <v>3</v>
      </c>
      <c r="AM9" s="42" t="str">
        <f t="shared" si="2"/>
        <v/>
      </c>
    </row>
    <row r="10" spans="2:39" ht="12" customHeight="1" x14ac:dyDescent="0.35"/>
    <row r="11" spans="2:39" s="9" customFormat="1" ht="18.899999999999999" customHeight="1" x14ac:dyDescent="0.35">
      <c r="B11" s="48">
        <f>DATE(AñoCalendario,2,1)</f>
        <v>44228</v>
      </c>
      <c r="C11" s="14" t="str" cm="1">
        <f t="array" ref="C11">IF(DAY(FebDom1)=1,"",IF(AND(YEAR(FebDom1+1)=AñoCalendario,MONTH(FebDom1+1)=2),FebDom1+1,""))</f>
        <v/>
      </c>
      <c r="D11" s="14" cm="1">
        <f t="array" ref="D11">IF(DAY(FebDom1)=1,"",IF(AND(YEAR(FebDom1+2)=AñoCalendario,MONTH(FebDom1+2)=2),FebDom1+2,""))</f>
        <v>44228</v>
      </c>
      <c r="E11" s="14" cm="1">
        <f t="array" ref="E11">IF(DAY(FebDom1)=1,"",IF(AND(YEAR(FebDom1+3)=AñoCalendario,MONTH(FebDom1+3)=2),FebDom1+3,""))</f>
        <v>44229</v>
      </c>
      <c r="F11" s="14" cm="1">
        <f t="array" ref="F11">IF(DAY(FebDom1)=1,"",IF(AND(YEAR(FebDom1+4)=AñoCalendario,MONTH(FebDom1+4)=2),FebDom1+4,""))</f>
        <v>44230</v>
      </c>
      <c r="G11" s="14" cm="1">
        <f t="array" ref="G11">IF(DAY(FebDom1)=1,"",IF(AND(YEAR(FebDom1+5)=AñoCalendario,MONTH(FebDom1+5)=2),FebDom1+5,""))</f>
        <v>44231</v>
      </c>
      <c r="H11" s="14" cm="1">
        <f t="array" ref="H11">IF(DAY(FebDom1)=1,"",IF(AND(YEAR(FebDom1+6)=AñoCalendario,MONTH(FebDom1+6)=2),FebDom1+6,""))</f>
        <v>44232</v>
      </c>
      <c r="I11" s="14" cm="1">
        <f t="array" ref="I11">_xlfn.SINGLE(IF(DAY(FebDom1)=1,IF(AND(YEAR(FebDom1)=AñoCalendario,MONTH(FebDom1)=2),FebSun1,""),IF(AND(YEAR(FebDom1+7)=AñoCalendario,MONTH(FebDom1+7)=2),FebDom1+7,"")))</f>
        <v>44233</v>
      </c>
      <c r="J11" s="14" cm="1">
        <f t="array" ref="J11">IF(DAY(FebDom1)=1,IF(AND(YEAR(FebDom1+1)=AñoCalendario,MONTH(FebDom1+1)=2),FebDom1+1,""),IF(AND(YEAR(FebDom1+8)=AñoCalendario,MONTH(FebDom1+8)=2),FebDom1+8,""))</f>
        <v>44234</v>
      </c>
      <c r="K11" s="14" cm="1">
        <f t="array" ref="K11">IF(DAY(FebDom1)=1,IF(AND(YEAR(FebDom1+2)=AñoCalendario,MONTH(FebDom1+2)=2),FebDom1+2,""),IF(AND(YEAR(FebDom1+9)=AñoCalendario,MONTH(FebDom1+9)=2),FebDom1+9,""))</f>
        <v>44235</v>
      </c>
      <c r="L11" s="14" cm="1">
        <f t="array" ref="L11">IF(DAY(FebDom1)=1,IF(AND(YEAR(FebDom1+3)=AñoCalendario,MONTH(FebDom1+3)=2),FebDom1+3,""),IF(AND(YEAR(FebDom1+10)=AñoCalendario,MONTH(FebDom1+10)=2),FebDom1+10,""))</f>
        <v>44236</v>
      </c>
      <c r="M11" s="14" cm="1">
        <f t="array" ref="M11">IF(DAY(FebDom1)=1,IF(AND(YEAR(FebDom1+4)=AñoCalendario,MONTH(FebDom1+4)=2),FebDom1+4,""),IF(AND(YEAR(FebDom1+11)=AñoCalendario,MONTH(FebDom1+11)=2),FebDom1+11,""))</f>
        <v>44237</v>
      </c>
      <c r="N11" s="14" cm="1">
        <f t="array" ref="N11">IF(DAY(FebDom1)=1,IF(AND(YEAR(FebDom1+5)=AñoCalendario,MONTH(FebDom1+5)=2),FebDom1+5,""),IF(AND(YEAR(FebDom1+12)=AñoCalendario,MONTH(FebDom1+12)=2),FebDom1+12,""))</f>
        <v>44238</v>
      </c>
      <c r="O11" s="14" cm="1">
        <f t="array" ref="O11">IF(DAY(FebDom1)=1,IF(AND(YEAR(FebDom1+6)=AñoCalendario,MONTH(FebDom1+6)=2),FebDom1+6,""),IF(AND(YEAR(FebDom1+13)=AñoCalendario,MONTH(FebDom1+13)=2),FebDom1+13,""))</f>
        <v>44239</v>
      </c>
      <c r="P11" s="14" cm="1">
        <f t="array" ref="P11">IF(DAY(FebDom1)=1,IF(AND(YEAR(FebDom1+7)=AñoCalendario,MONTH(FebDom1+7)=2),FebDom1+7,""),IF(AND(YEAR(FebDom1+14)=AñoCalendario,MONTH(FebDom1+14)=2),FebDom1+14,""))</f>
        <v>44240</v>
      </c>
      <c r="Q11" s="14" cm="1">
        <f t="array" ref="Q11">IF(DAY(FebDom1)=1,IF(AND(YEAR(FebDom1+8)=AñoCalendario,MONTH(FebDom1+8)=2),FebDom1+8,""),IF(AND(YEAR(FebDom1+15)=AñoCalendario,MONTH(FebDom1+15)=2),FebDom1+15,""))</f>
        <v>44241</v>
      </c>
      <c r="R11" s="14" cm="1">
        <f t="array" ref="R11">IF(DAY(FebDom1)=1,IF(AND(YEAR(FebDom1+9)=AñoCalendario,MONTH(FebDom1+9)=2),FebDom1+9,""),IF(AND(YEAR(FebDom1+16)=AñoCalendario,MONTH(FebDom1+16)=2),FebDom1+16,""))</f>
        <v>44242</v>
      </c>
      <c r="S11" s="14" cm="1">
        <f t="array" ref="S11">IF(DAY(FebDom1)=1,IF(AND(YEAR(FebDom1+10)=AñoCalendario,MONTH(FebDom1+10)=2),FebDom1+10,""),IF(AND(YEAR(FebDom1+17)=AñoCalendario,MONTH(FebDom1+17)=2),FebDom1+17,""))</f>
        <v>44243</v>
      </c>
      <c r="T11" s="14" cm="1">
        <f t="array" ref="T11">IF(DAY(FebDom1)=1,IF(AND(YEAR(FebDom1+11)=AñoCalendario,MONTH(FebDom1+11)=2),FebDom1+11,""),IF(AND(YEAR(FebDom1+18)=AñoCalendario,MONTH(FebDom1+18)=2),FebDom1+18,""))</f>
        <v>44244</v>
      </c>
      <c r="U11" s="14" cm="1">
        <f t="array" ref="U11">IF(DAY(FebDom1)=1,IF(AND(YEAR(FebDom1+12)=AñoCalendario,MONTH(FebDom1+12)=2),FebDom1+12,""),IF(AND(YEAR(FebDom1+19)=AñoCalendario,MONTH(FebDom1+19)=2),FebDom1+19,""))</f>
        <v>44245</v>
      </c>
      <c r="V11" s="14" cm="1">
        <f t="array" ref="V11">IF(DAY(FebDom1)=1,IF(AND(YEAR(FebDom1+13)=AñoCalendario,MONTH(FebDom1+13)=2),FebDom1+13,""),IF(AND(YEAR(FebDom1+20)=AñoCalendario,MONTH(FebDom1+20)=2),FebDom1+20,""))</f>
        <v>44246</v>
      </c>
      <c r="W11" s="14" cm="1">
        <f t="array" ref="W11">IF(DAY(FebDom1)=1,IF(AND(YEAR(FebDom1+14)=AñoCalendario,MONTH(FebDom1+14)=2),FebDom1+14,""),IF(AND(YEAR(FebDom1+21)=AñoCalendario,MONTH(FebDom1+21)=2),FebDom1+21,""))</f>
        <v>44247</v>
      </c>
      <c r="X11" s="14" cm="1">
        <f t="array" ref="X11">IF(DAY(FebDom1)=1,IF(AND(YEAR(FebDom1+15)=AñoCalendario,MONTH(FebDom1+15)=2),FebDom1+15,""),IF(AND(YEAR(FebDom1+22)=AñoCalendario,MONTH(FebDom1+22)=2),FebDom1+22,""))</f>
        <v>44248</v>
      </c>
      <c r="Y11" s="14" cm="1">
        <f t="array" ref="Y11">IF(DAY(FebDom1)=1,IF(AND(YEAR(FebDom1+16)=AñoCalendario,MONTH(FebDom1+16)=2),FebDom1+16,""),IF(AND(YEAR(FebDom1+23)=AñoCalendario,MONTH(FebDom1+23)=2),FebDom1+23,""))</f>
        <v>44249</v>
      </c>
      <c r="Z11" s="14" cm="1">
        <f t="array" ref="Z11">IF(DAY(FebDom1)=1,IF(AND(YEAR(FebDom1+17)=AñoCalendario,MONTH(FebDom1+17)=2),FebDom1+17,""),IF(AND(YEAR(FebDom1+24)=AñoCalendario,MONTH(FebDom1+24)=2),FebDom1+24,""))</f>
        <v>44250</v>
      </c>
      <c r="AA11" s="14" cm="1">
        <f t="array" ref="AA11">IF(DAY(FebDom1)=1,IF(AND(YEAR(FebDom1+18)=AñoCalendario,MONTH(FebDom1+18)=2),FebDom1+18,""),IF(AND(YEAR(FebDom1+25)=AñoCalendario,MONTH(FebDom1+25)=2),FebDom1+25,""))</f>
        <v>44251</v>
      </c>
      <c r="AB11" s="14" cm="1">
        <f t="array" ref="AB11">IF(DAY(FebDom1)=1,IF(AND(YEAR(FebDom1+19)=AñoCalendario,MONTH(FebDom1+19)=2),FebDom1+19,""),IF(AND(YEAR(FebDom1+26)=AñoCalendario,MONTH(FebDom1+26)=2),FebDom1+26,""))</f>
        <v>44252</v>
      </c>
      <c r="AC11" s="14" cm="1">
        <f t="array" ref="AC11">IF(DAY(FebDom1)=1,IF(AND(YEAR(FebDom1+20)=AñoCalendario,MONTH(FebDom1+20)=2),FebDom1+20,""),IF(AND(YEAR(FebDom1+27)=AñoCalendario,MONTH(FebDom1+27)=2),FebDom1+27,""))</f>
        <v>44253</v>
      </c>
      <c r="AD11" s="14" cm="1">
        <f t="array" ref="AD11">IF(DAY(FebDom1)=1,IF(AND(YEAR(FebDom1+21)=AñoCalendario,MONTH(FebDom1+21)=2),FebDom1+21,""),IF(AND(YEAR(FebDom1+28)=AñoCalendario,MONTH(FebDom1+28)=2),FebDom1+28,""))</f>
        <v>44254</v>
      </c>
      <c r="AE11" s="14" cm="1">
        <f t="array" ref="AE11">IF(DAY(FebDom1)=1,IF(AND(YEAR(FebDom1+22)=AñoCalendario,MONTH(FebDom1+22)=2),FebDom1+22,""),IF(AND(YEAR(FebDom1+29)=AñoCalendario,MONTH(FebDom1+29)=2),FebDom1+29,""))</f>
        <v>44255</v>
      </c>
      <c r="AF11" s="14" t="str" cm="1">
        <f t="array" ref="AF11">IF(DAY(FebDom1)=1,IF(AND(YEAR(FebDom1+23)=AñoCalendario,MONTH(FebDom1+23)=2),FebDom1+23,""),IF(AND(YEAR(FebDom1+30)=AñoCalendario,MONTH(FebDom1+30)=2),FebDom1+30,""))</f>
        <v/>
      </c>
      <c r="AG11" s="14" t="str" cm="1">
        <f t="array" ref="AG11">IF(DAY(FebDom1)=1,IF(AND(YEAR(FebDom1+24)=AñoCalendario,MONTH(FebDom1+24)=2),FebDom1+24,""),IF(AND(YEAR(FebDom1+31)=AñoCalendario,MONTH(FebDom1+31)=2),FebDom1+31,""))</f>
        <v/>
      </c>
      <c r="AH11" s="14" t="str" cm="1">
        <f t="array" ref="AH11">IF(DAY(FebDom1)=1,IF(AND(YEAR(FebDom1+25)=AñoCalendario,MONTH(FebDom1+25)=2),FebDom1+25,""),IF(AND(YEAR(FebDom1+32)=AñoCalendario,MONTH(FebDom1+32)=2),FebDom1+32,""))</f>
        <v/>
      </c>
      <c r="AI11" s="14" t="str" cm="1">
        <f t="array" ref="AI11">IF(DAY(FebDom1)=1,IF(AND(YEAR(FebDom1+26)=AñoCalendario,MONTH(FebDom1+26)=2),FebDom1+26,""),IF(AND(YEAR(FebDom1+33)=AñoCalendario,MONTH(FebDom1+33)=2),FebDom1+33,""))</f>
        <v/>
      </c>
      <c r="AJ11" s="14" t="str" cm="1">
        <f t="array" ref="AJ11">IF(DAY(FebDom1)=1,IF(AND(YEAR(FebDom1+27)=AñoCalendario,MONTH(FebDom1+27)=2),FebDom1+27,""),IF(AND(YEAR(FebDom1+34)=AñoCalendario,MONTH(FebDom1+34)=2),FebDom1+34,""))</f>
        <v/>
      </c>
      <c r="AK11" s="14" t="str" cm="1">
        <f t="array" ref="AK11">IF(DAY(FebDom1)=1,IF(AND(YEAR(FebDom1+28)=AñoCalendario,MONTH(FebDom1+28)=2),FebDom1+28,""),IF(AND(YEAR(FebDom1+35)=AñoCalendario,MONTH(FebDom1+35)=2),FebDom1+35,""))</f>
        <v/>
      </c>
      <c r="AL11" s="14" t="str" cm="1">
        <f t="array" ref="AL11">IF(DAY(FebDom1)=1,IF(AND(YEAR(FebDom1+29)=AñoCalendario,MONTH(FebDom1+29)=2),FebDom1+29,""),IF(AND(YEAR(FebDom1+36)=AñoCalendario,MONTH(FebDom1+36)=2),FebDom1+36,""))</f>
        <v/>
      </c>
      <c r="AM11" s="15" t="str" cm="1">
        <f t="array" ref="AM11">IF(DAY(FebDom1)=1,IF(AND(YEAR(FebDom1+30)=AñoCalendario,MONTH(FebDom1+30)=2),FebDom1+30,""),IF(AND(YEAR(FebDom1+37)=AñoCalendario,MONTH(FebDom1+37)=2),FebDom1+37,""))</f>
        <v/>
      </c>
    </row>
    <row r="12" spans="2:39" s="9" customFormat="1" ht="18.899999999999999" customHeight="1" x14ac:dyDescent="0.35">
      <c r="B12" s="49"/>
      <c r="C12" s="13" t="s">
        <v>0</v>
      </c>
      <c r="D12" s="13" t="s">
        <v>1</v>
      </c>
      <c r="E12" s="13" t="s">
        <v>2</v>
      </c>
      <c r="F12" s="13" t="s">
        <v>3</v>
      </c>
      <c r="G12" s="13" t="s">
        <v>4</v>
      </c>
      <c r="H12" s="13" t="s">
        <v>5</v>
      </c>
      <c r="I12" s="13" t="s">
        <v>6</v>
      </c>
      <c r="J12" s="13" t="s">
        <v>0</v>
      </c>
      <c r="K12" s="13" t="s">
        <v>1</v>
      </c>
      <c r="L12" s="13" t="s">
        <v>2</v>
      </c>
      <c r="M12" s="13" t="s">
        <v>3</v>
      </c>
      <c r="N12" s="13" t="s">
        <v>4</v>
      </c>
      <c r="O12" s="13" t="s">
        <v>5</v>
      </c>
      <c r="P12" s="13" t="s">
        <v>6</v>
      </c>
      <c r="Q12" s="13" t="s">
        <v>0</v>
      </c>
      <c r="R12" s="13" t="s">
        <v>1</v>
      </c>
      <c r="S12" s="13" t="s">
        <v>2</v>
      </c>
      <c r="T12" s="13" t="s">
        <v>3</v>
      </c>
      <c r="U12" s="13" t="s">
        <v>4</v>
      </c>
      <c r="V12" s="13" t="s">
        <v>5</v>
      </c>
      <c r="W12" s="13" t="s">
        <v>6</v>
      </c>
      <c r="X12" s="13" t="s">
        <v>0</v>
      </c>
      <c r="Y12" s="13" t="s">
        <v>1</v>
      </c>
      <c r="Z12" s="13" t="s">
        <v>2</v>
      </c>
      <c r="AA12" s="13" t="s">
        <v>3</v>
      </c>
      <c r="AB12" s="13" t="s">
        <v>4</v>
      </c>
      <c r="AC12" s="13" t="s">
        <v>5</v>
      </c>
      <c r="AD12" s="13" t="s">
        <v>6</v>
      </c>
      <c r="AE12" s="13" t="s">
        <v>0</v>
      </c>
      <c r="AF12" s="13" t="s">
        <v>1</v>
      </c>
      <c r="AG12" s="13" t="s">
        <v>2</v>
      </c>
      <c r="AH12" s="13" t="s">
        <v>3</v>
      </c>
      <c r="AI12" s="13" t="s">
        <v>4</v>
      </c>
      <c r="AJ12" s="13" t="s">
        <v>5</v>
      </c>
      <c r="AK12" s="13" t="s">
        <v>6</v>
      </c>
      <c r="AL12" s="13" t="s">
        <v>0</v>
      </c>
      <c r="AM12" s="16" t="s">
        <v>1</v>
      </c>
    </row>
    <row r="13" spans="2:39" ht="18.899999999999999" customHeight="1" x14ac:dyDescent="0.35">
      <c r="B13" s="10" t="str">
        <f>IF(Trabajo1_Nombre="","",Trabajo1_Nombre)</f>
        <v>Trabajo 1</v>
      </c>
      <c r="C13" s="41" t="str">
        <f t="shared" ref="C13:AM13" si="3">IF(OR(NOT(ISNUMBER(C11)),C11&lt;_xlfn.SINGLE(Trabajo1_DíaInicio)),"",IF(MID(_xlfn.SINGLE(Trabajo1_Patrón),MOD(C11-_xlfn.SINGLE(Trabajo1_DíaInicio),LEN(_xlfn.SINGLE(Trabajo1_Patrón)))+1,1)=_xlfn.SINGLE(Trabajo1_Turno1_Código),1,IF(MID(_xlfn.SINGLE(Trabajo1_Patrón),MOD(C11-_xlfn.SINGLE(Trabajo1_DíaInicio),LEN(_xlfn.SINGLE(Trabajo1_Patrón)))+1,1)=_xlfn.SINGLE(Trabajo1_Turno2_Código),2,IF(MID(_xlfn.SINGLE(Trabajo1_Patrón),MOD(C11-_xlfn.SINGLE(Trabajo1_DíaInicio),LEN(_xlfn.SINGLE(Trabajo1_Patrón)))+1,1)=_xlfn.SINGLE(Trabajo1_Turno3_Código),3,""))))</f>
        <v/>
      </c>
      <c r="D13" s="41" t="str">
        <f t="shared" si="3"/>
        <v/>
      </c>
      <c r="E13" s="41" t="str">
        <f t="shared" si="3"/>
        <v/>
      </c>
      <c r="F13" s="41" t="str">
        <f t="shared" si="3"/>
        <v/>
      </c>
      <c r="G13" s="41">
        <f t="shared" si="3"/>
        <v>1</v>
      </c>
      <c r="H13" s="41">
        <f t="shared" si="3"/>
        <v>1</v>
      </c>
      <c r="I13" s="41">
        <f t="shared" si="3"/>
        <v>1</v>
      </c>
      <c r="J13" s="41">
        <f t="shared" si="3"/>
        <v>1</v>
      </c>
      <c r="K13" s="41" t="str">
        <f t="shared" si="3"/>
        <v/>
      </c>
      <c r="L13" s="41" t="str">
        <f t="shared" si="3"/>
        <v/>
      </c>
      <c r="M13" s="41">
        <f t="shared" si="3"/>
        <v>2</v>
      </c>
      <c r="N13" s="41">
        <f t="shared" si="3"/>
        <v>2</v>
      </c>
      <c r="O13" s="41">
        <f t="shared" si="3"/>
        <v>2</v>
      </c>
      <c r="P13" s="41">
        <f t="shared" si="3"/>
        <v>2</v>
      </c>
      <c r="Q13" s="41" t="str">
        <f t="shared" si="3"/>
        <v/>
      </c>
      <c r="R13" s="41" t="str">
        <f t="shared" si="3"/>
        <v/>
      </c>
      <c r="S13" s="41">
        <f t="shared" si="3"/>
        <v>1</v>
      </c>
      <c r="T13" s="41">
        <f t="shared" si="3"/>
        <v>1</v>
      </c>
      <c r="U13" s="41">
        <f t="shared" si="3"/>
        <v>1</v>
      </c>
      <c r="V13" s="41" t="str">
        <f t="shared" si="3"/>
        <v/>
      </c>
      <c r="W13" s="41">
        <f t="shared" si="3"/>
        <v>2</v>
      </c>
      <c r="X13" s="41">
        <f t="shared" si="3"/>
        <v>2</v>
      </c>
      <c r="Y13" s="41">
        <f t="shared" si="3"/>
        <v>2</v>
      </c>
      <c r="Z13" s="41" t="str">
        <f t="shared" si="3"/>
        <v/>
      </c>
      <c r="AA13" s="41" t="str">
        <f t="shared" si="3"/>
        <v/>
      </c>
      <c r="AB13" s="41" t="str">
        <f t="shared" si="3"/>
        <v/>
      </c>
      <c r="AC13" s="41">
        <f t="shared" si="3"/>
        <v>1</v>
      </c>
      <c r="AD13" s="41">
        <f t="shared" si="3"/>
        <v>1</v>
      </c>
      <c r="AE13" s="41" t="str">
        <f t="shared" si="3"/>
        <v/>
      </c>
      <c r="AF13" s="41" t="str">
        <f t="shared" si="3"/>
        <v/>
      </c>
      <c r="AG13" s="41" t="str">
        <f t="shared" si="3"/>
        <v/>
      </c>
      <c r="AH13" s="41" t="str">
        <f t="shared" si="3"/>
        <v/>
      </c>
      <c r="AI13" s="41" t="str">
        <f t="shared" si="3"/>
        <v/>
      </c>
      <c r="AJ13" s="41" t="str">
        <f t="shared" si="3"/>
        <v/>
      </c>
      <c r="AK13" s="41" t="str">
        <f t="shared" si="3"/>
        <v/>
      </c>
      <c r="AL13" s="41" t="str">
        <f t="shared" si="3"/>
        <v/>
      </c>
      <c r="AM13" s="41" t="str">
        <f t="shared" si="3"/>
        <v/>
      </c>
    </row>
    <row r="14" spans="2:39" ht="18.899999999999999" customHeight="1" x14ac:dyDescent="0.35">
      <c r="B14" s="11" t="str">
        <f>IF(Trabajo2_Nombre="","",Trabajo2_Nombre)</f>
        <v>Trabajo 2</v>
      </c>
      <c r="C14" s="42" t="str">
        <f t="shared" ref="C14:AM14" si="4">IF(OR(NOT(ISNUMBER(C11)),C11&lt;_xlfn.SINGLE(Trabajo2_DíaInicio)),"",IF(MID(_xlfn.SINGLE(Trabajo2_Patrón),MOD(C11-_xlfn.SINGLE(Trabajo2_DíaInicio),LEN(_xlfn.SINGLE(Trabajo2_Patrón)))+1,1)=_xlfn.SINGLE(Trabajo2_Turno1_Código),1,IF(MID(_xlfn.SINGLE(Trabajo2_Patrón),MOD(C11-_xlfn.SINGLE(Trabajo2_DíaInicio),LEN(_xlfn.SINGLE(Trabajo2_Patrón)))+1,1)=_xlfn.SINGLE(Trabajo2_Turno2_Código),2,IF(MID(_xlfn.SINGLE(Trabajo2_Patrón),MOD(C11-_xlfn.SINGLE(Trabajo2_DíaInicio),LEN(_xlfn.SINGLE(Trabajo2_Patrón)))+1,1)=_xlfn.SINGLE(Trabajo2_Turno3_Código),3,""))))</f>
        <v/>
      </c>
      <c r="D14" s="42">
        <f t="shared" si="4"/>
        <v>1</v>
      </c>
      <c r="E14" s="42">
        <f t="shared" si="4"/>
        <v>1</v>
      </c>
      <c r="F14" s="42" t="str">
        <f t="shared" si="4"/>
        <v/>
      </c>
      <c r="G14" s="42" t="str">
        <f t="shared" si="4"/>
        <v/>
      </c>
      <c r="H14" s="42" t="str">
        <f t="shared" si="4"/>
        <v/>
      </c>
      <c r="I14" s="42">
        <f t="shared" si="4"/>
        <v>2</v>
      </c>
      <c r="J14" s="42">
        <f t="shared" si="4"/>
        <v>2</v>
      </c>
      <c r="K14" s="42" t="str">
        <f t="shared" si="4"/>
        <v/>
      </c>
      <c r="L14" s="42">
        <f t="shared" si="4"/>
        <v>1</v>
      </c>
      <c r="M14" s="42">
        <f t="shared" si="4"/>
        <v>1</v>
      </c>
      <c r="N14" s="42" t="str">
        <f t="shared" si="4"/>
        <v/>
      </c>
      <c r="O14" s="42" t="str">
        <f t="shared" si="4"/>
        <v/>
      </c>
      <c r="P14" s="42" t="str">
        <f t="shared" si="4"/>
        <v/>
      </c>
      <c r="Q14" s="42">
        <f t="shared" si="4"/>
        <v>2</v>
      </c>
      <c r="R14" s="42">
        <f t="shared" si="4"/>
        <v>2</v>
      </c>
      <c r="S14" s="42">
        <f t="shared" si="4"/>
        <v>2</v>
      </c>
      <c r="T14" s="42">
        <f t="shared" si="4"/>
        <v>2</v>
      </c>
      <c r="U14" s="42" t="str">
        <f t="shared" si="4"/>
        <v/>
      </c>
      <c r="V14" s="42" t="str">
        <f t="shared" si="4"/>
        <v/>
      </c>
      <c r="W14" s="42" t="str">
        <f t="shared" si="4"/>
        <v/>
      </c>
      <c r="X14" s="42" t="str">
        <f t="shared" si="4"/>
        <v/>
      </c>
      <c r="Y14" s="42" t="str">
        <f t="shared" si="4"/>
        <v/>
      </c>
      <c r="Z14" s="42">
        <f t="shared" si="4"/>
        <v>1</v>
      </c>
      <c r="AA14" s="42" t="str">
        <f t="shared" si="4"/>
        <v/>
      </c>
      <c r="AB14" s="42" t="str">
        <f t="shared" si="4"/>
        <v/>
      </c>
      <c r="AC14" s="42">
        <f t="shared" si="4"/>
        <v>2</v>
      </c>
      <c r="AD14" s="42">
        <f t="shared" si="4"/>
        <v>2</v>
      </c>
      <c r="AE14" s="42">
        <f t="shared" si="4"/>
        <v>2</v>
      </c>
      <c r="AF14" s="42" t="str">
        <f t="shared" si="4"/>
        <v/>
      </c>
      <c r="AG14" s="42" t="str">
        <f t="shared" si="4"/>
        <v/>
      </c>
      <c r="AH14" s="42" t="str">
        <f t="shared" si="4"/>
        <v/>
      </c>
      <c r="AI14" s="42" t="str">
        <f t="shared" si="4"/>
        <v/>
      </c>
      <c r="AJ14" s="42" t="str">
        <f t="shared" si="4"/>
        <v/>
      </c>
      <c r="AK14" s="42" t="str">
        <f t="shared" si="4"/>
        <v/>
      </c>
      <c r="AL14" s="42" t="str">
        <f t="shared" si="4"/>
        <v/>
      </c>
      <c r="AM14" s="42" t="str">
        <f t="shared" si="4"/>
        <v/>
      </c>
    </row>
    <row r="15" spans="2:39" ht="18.899999999999999" customHeight="1" x14ac:dyDescent="0.35">
      <c r="B15" s="11" t="str">
        <f>_xlfn.SINGLE(IF(_xlfn.SINGLE(Trabajo3_Nombre)="","",Trabajo3_Nombre))</f>
        <v>Trabajo 3</v>
      </c>
      <c r="C15" s="42" t="str">
        <f t="shared" ref="C15:AM15" si="5">IF(OR(NOT(ISNUMBER(C11)),C11&lt;_xlfn.SINGLE(Trabajo3_DíaInicio)),"",IF(MID(_xlfn.SINGLE(Trabajo3_Patrón),MOD(C11-_xlfn.SINGLE(Trabajo3_DíaInicio),LEN(_xlfn.SINGLE(Trabajo3_Patrón)))+1,1)=_xlfn.SINGLE(Trabajo3_Turno1_Código),1,IF(MID(_xlfn.SINGLE(Trabajo3_Patrón),MOD(C11-_xlfn.SINGLE(Trabajo3_DíaInicio),LEN(_xlfn.SINGLE(Trabajo3_Patrón)))+1,1)=_xlfn.SINGLE(Trabajo3_Turno2_Código),2,IF(MID(_xlfn.SINGLE(Trabajo3_Patrón),MOD(C11-_xlfn.SINGLE(Trabajo3_DíaInicio),LEN(_xlfn.SINGLE(Trabajo3_Patrón)))+1,1)=_xlfn.SINGLE(Trabajo3_Turno3_Código),3,""))))</f>
        <v/>
      </c>
      <c r="D15" s="42">
        <f t="shared" si="5"/>
        <v>3</v>
      </c>
      <c r="E15" s="42">
        <f t="shared" si="5"/>
        <v>3</v>
      </c>
      <c r="F15" s="42" t="str">
        <f t="shared" si="5"/>
        <v/>
      </c>
      <c r="G15" s="42" t="str">
        <f t="shared" si="5"/>
        <v/>
      </c>
      <c r="H15" s="42" t="str">
        <f t="shared" si="5"/>
        <v/>
      </c>
      <c r="I15" s="42">
        <f t="shared" si="5"/>
        <v>3</v>
      </c>
      <c r="J15" s="42" t="str">
        <f t="shared" si="5"/>
        <v/>
      </c>
      <c r="K15" s="42" t="str">
        <f t="shared" si="5"/>
        <v/>
      </c>
      <c r="L15" s="42" t="str">
        <f t="shared" si="5"/>
        <v/>
      </c>
      <c r="M15" s="42" t="str">
        <f t="shared" si="5"/>
        <v/>
      </c>
      <c r="N15" s="42" t="str">
        <f t="shared" si="5"/>
        <v/>
      </c>
      <c r="O15" s="42" t="str">
        <f t="shared" si="5"/>
        <v/>
      </c>
      <c r="P15" s="42">
        <f t="shared" si="5"/>
        <v>3</v>
      </c>
      <c r="Q15" s="42">
        <f t="shared" si="5"/>
        <v>3</v>
      </c>
      <c r="R15" s="42" t="str">
        <f t="shared" si="5"/>
        <v/>
      </c>
      <c r="S15" s="42" t="str">
        <f t="shared" si="5"/>
        <v/>
      </c>
      <c r="T15" s="42" t="str">
        <f t="shared" si="5"/>
        <v/>
      </c>
      <c r="U15" s="42">
        <f t="shared" si="5"/>
        <v>3</v>
      </c>
      <c r="V15" s="42">
        <f t="shared" si="5"/>
        <v>3</v>
      </c>
      <c r="W15" s="42" t="str">
        <f t="shared" si="5"/>
        <v/>
      </c>
      <c r="X15" s="42" t="str">
        <f t="shared" si="5"/>
        <v/>
      </c>
      <c r="Y15" s="42" t="str">
        <f t="shared" si="5"/>
        <v/>
      </c>
      <c r="Z15" s="42" t="str">
        <f t="shared" si="5"/>
        <v/>
      </c>
      <c r="AA15" s="42">
        <f t="shared" si="5"/>
        <v>3</v>
      </c>
      <c r="AB15" s="42">
        <f t="shared" si="5"/>
        <v>3</v>
      </c>
      <c r="AC15" s="42" t="str">
        <f t="shared" si="5"/>
        <v/>
      </c>
      <c r="AD15" s="42" t="str">
        <f t="shared" si="5"/>
        <v/>
      </c>
      <c r="AE15" s="42" t="str">
        <f t="shared" si="5"/>
        <v/>
      </c>
      <c r="AF15" s="42" t="str">
        <f t="shared" si="5"/>
        <v/>
      </c>
      <c r="AG15" s="42" t="str">
        <f t="shared" si="5"/>
        <v/>
      </c>
      <c r="AH15" s="42" t="str">
        <f t="shared" si="5"/>
        <v/>
      </c>
      <c r="AI15" s="42" t="str">
        <f t="shared" si="5"/>
        <v/>
      </c>
      <c r="AJ15" s="42" t="str">
        <f t="shared" si="5"/>
        <v/>
      </c>
      <c r="AK15" s="42" t="str">
        <f t="shared" si="5"/>
        <v/>
      </c>
      <c r="AL15" s="42" t="str">
        <f t="shared" si="5"/>
        <v/>
      </c>
      <c r="AM15" s="42" t="str">
        <f t="shared" si="5"/>
        <v/>
      </c>
    </row>
    <row r="16" spans="2:39" ht="12" customHeight="1" x14ac:dyDescent="0.35"/>
    <row r="17" spans="2:39" s="12" customFormat="1" ht="18.899999999999999" customHeight="1" x14ac:dyDescent="0.35">
      <c r="B17" s="48">
        <f>DATE(AñoCalendario,3,1)</f>
        <v>44256</v>
      </c>
      <c r="C17" s="14" t="str" cm="1">
        <f t="array" ref="C17">IF(DAY(MarDom1)=1,"",IF(AND(YEAR(MarDom1+1)=AñoCalendario,MONTH(MarDom1+1)=3),MarDom1+1,""))</f>
        <v/>
      </c>
      <c r="D17" s="14" cm="1">
        <f t="array" ref="D17">IF(DAY(MarDom1)=1,"",IF(AND(YEAR(MarDom1+2)=AñoCalendario,MONTH(MarDom1+2)=3),MarDom1+2,""))</f>
        <v>44256</v>
      </c>
      <c r="E17" s="14" cm="1">
        <f t="array" ref="E17">IF(DAY(MarDom1)=1,"",IF(AND(YEAR(MarDom1+3)=AñoCalendario,MONTH(MarDom1+3)=3),MarDom1+3,""))</f>
        <v>44257</v>
      </c>
      <c r="F17" s="14" cm="1">
        <f t="array" ref="F17">IF(DAY(MarDom1)=1,"",IF(AND(YEAR(MarDom1+4)=AñoCalendario,MONTH(MarDom1+4)=3),MarDom1+4,""))</f>
        <v>44258</v>
      </c>
      <c r="G17" s="14" cm="1">
        <f t="array" ref="G17">IF(DAY(MarDom1)=1,"",IF(AND(YEAR(MarDom1+5)=AñoCalendario,MONTH(MarDom1+5)=3),MarDom1+5,""))</f>
        <v>44259</v>
      </c>
      <c r="H17" s="14" cm="1">
        <f t="array" ref="H17">IF(DAY(MarDom1)=1,"",IF(AND(YEAR(MarDom1+6)=AñoCalendario,MONTH(MarDom1+6)=3),MarDom1+6,""))</f>
        <v>44260</v>
      </c>
      <c r="I17" s="14" cm="1">
        <f t="array" ref="I17">_xlfn.SINGLE(IF(DAY(MarDom1)=1,IF(AND(YEAR(MarDom1)=AñoCalendario,MONTH(MarDom1)=3),MarSun1,""),IF(AND(YEAR(MarDom1+7)=AñoCalendario,MONTH(MarDom1+7)=3),MarDom1+7,"")))</f>
        <v>44261</v>
      </c>
      <c r="J17" s="14" cm="1">
        <f t="array" ref="J17">IF(DAY(MarDom1)=1,IF(AND(YEAR(MarDom1+1)=AñoCalendario,MONTH(MarDom1+1)=3),MarDom1+1,""),IF(AND(YEAR(MarDom1+8)=AñoCalendario,MONTH(MarDom1+8)=3),MarDom1+8,""))</f>
        <v>44262</v>
      </c>
      <c r="K17" s="14" cm="1">
        <f t="array" ref="K17">IF(DAY(MarDom1)=1,IF(AND(YEAR(MarDom1+2)=AñoCalendario,MONTH(MarDom1+2)=3),MarDom1+2,""),IF(AND(YEAR(MarDom1+9)=AñoCalendario,MONTH(MarDom1+9)=3),MarDom1+9,""))</f>
        <v>44263</v>
      </c>
      <c r="L17" s="14" cm="1">
        <f t="array" ref="L17">IF(DAY(MarDom1)=1,IF(AND(YEAR(MarDom1+3)=AñoCalendario,MONTH(MarDom1+3)=3),MarDom1+3,""),IF(AND(YEAR(MarDom1+10)=AñoCalendario,MONTH(MarDom1+10)=3),MarDom1+10,""))</f>
        <v>44264</v>
      </c>
      <c r="M17" s="14" cm="1">
        <f t="array" ref="M17">IF(DAY(MarDom1)=1,IF(AND(YEAR(MarDom1+4)=AñoCalendario,MONTH(MarDom1+4)=3),MarDom1+4,""),IF(AND(YEAR(MarDom1+11)=AñoCalendario,MONTH(MarDom1+11)=3),MarDom1+11,""))</f>
        <v>44265</v>
      </c>
      <c r="N17" s="14" cm="1">
        <f t="array" ref="N17">IF(DAY(MarDom1)=1,IF(AND(YEAR(MarDom1+5)=AñoCalendario,MONTH(MarDom1+5)=3),MarDom1+5,""),IF(AND(YEAR(MarDom1+12)=AñoCalendario,MONTH(MarDom1+12)=3),MarDom1+12,""))</f>
        <v>44266</v>
      </c>
      <c r="O17" s="14" cm="1">
        <f t="array" ref="O17">IF(DAY(MarDom1)=1,IF(AND(YEAR(MarDom1+6)=AñoCalendario,MONTH(MarDom1+6)=3),MarDom1+6,""),IF(AND(YEAR(MarDom1+13)=AñoCalendario,MONTH(MarDom1+13)=3),MarDom1+13,""))</f>
        <v>44267</v>
      </c>
      <c r="P17" s="14" cm="1">
        <f t="array" ref="P17">IF(DAY(MarDom1)=1,IF(AND(YEAR(MarDom1+7)=AñoCalendario,MONTH(MarDom1+7)=3),MarDom1+7,""),IF(AND(YEAR(MarDom1+14)=AñoCalendario,MONTH(MarDom1+14)=3),MarDom1+14,""))</f>
        <v>44268</v>
      </c>
      <c r="Q17" s="14" cm="1">
        <f t="array" ref="Q17">IF(DAY(MarDom1)=1,IF(AND(YEAR(MarDom1+8)=AñoCalendario,MONTH(MarDom1+8)=3),MarDom1+8,""),IF(AND(YEAR(MarDom1+15)=AñoCalendario,MONTH(MarDom1+15)=3),MarDom1+15,""))</f>
        <v>44269</v>
      </c>
      <c r="R17" s="14" cm="1">
        <f t="array" ref="R17">IF(DAY(MarDom1)=1,IF(AND(YEAR(MarDom1+9)=AñoCalendario,MONTH(MarDom1+9)=3),MarDom1+9,""),IF(AND(YEAR(MarDom1+16)=AñoCalendario,MONTH(MarDom1+16)=3),MarDom1+16,""))</f>
        <v>44270</v>
      </c>
      <c r="S17" s="14" cm="1">
        <f t="array" ref="S17">IF(DAY(MarDom1)=1,IF(AND(YEAR(MarDom1+10)=AñoCalendario,MONTH(MarDom1+10)=3),MarDom1+10,""),IF(AND(YEAR(MarDom1+17)=AñoCalendario,MONTH(MarDom1+17)=3),MarDom1+17,""))</f>
        <v>44271</v>
      </c>
      <c r="T17" s="14" cm="1">
        <f t="array" ref="T17">IF(DAY(MarDom1)=1,IF(AND(YEAR(MarDom1+11)=AñoCalendario,MONTH(MarDom1+11)=3),MarDom1+11,""),IF(AND(YEAR(MarDom1+18)=AñoCalendario,MONTH(MarDom1+18)=3),MarDom1+18,""))</f>
        <v>44272</v>
      </c>
      <c r="U17" s="14" cm="1">
        <f t="array" ref="U17">IF(DAY(MarDom1)=1,IF(AND(YEAR(MarDom1+12)=AñoCalendario,MONTH(MarDom1+12)=3),MarDom1+12,""),IF(AND(YEAR(MarDom1+19)=AñoCalendario,MONTH(MarDom1+19)=3),MarDom1+19,""))</f>
        <v>44273</v>
      </c>
      <c r="V17" s="14" cm="1">
        <f t="array" ref="V17">IF(DAY(MarDom1)=1,IF(AND(YEAR(MarDom1+13)=AñoCalendario,MONTH(MarDom1+13)=3),MarDom1+13,""),IF(AND(YEAR(MarDom1+20)=AñoCalendario,MONTH(MarDom1+20)=3),MarDom1+20,""))</f>
        <v>44274</v>
      </c>
      <c r="W17" s="14" cm="1">
        <f t="array" ref="W17">IF(DAY(MarDom1)=1,IF(AND(YEAR(MarDom1+14)=AñoCalendario,MONTH(MarDom1+14)=3),MarDom1+14,""),IF(AND(YEAR(MarDom1+21)=AñoCalendario,MONTH(MarDom1+21)=3),MarDom1+21,""))</f>
        <v>44275</v>
      </c>
      <c r="X17" s="14" cm="1">
        <f t="array" ref="X17">IF(DAY(MarDom1)=1,IF(AND(YEAR(MarDom1+15)=AñoCalendario,MONTH(MarDom1+15)=3),MarDom1+15,""),IF(AND(YEAR(MarDom1+22)=AñoCalendario,MONTH(MarDom1+22)=3),MarDom1+22,""))</f>
        <v>44276</v>
      </c>
      <c r="Y17" s="14" cm="1">
        <f t="array" ref="Y17">IF(DAY(MarDom1)=1,IF(AND(YEAR(MarDom1+16)=AñoCalendario,MONTH(MarDom1+16)=3),MarDom1+16,""),IF(AND(YEAR(MarDom1+23)=AñoCalendario,MONTH(MarDom1+23)=3),MarDom1+23,""))</f>
        <v>44277</v>
      </c>
      <c r="Z17" s="14" cm="1">
        <f t="array" ref="Z17">IF(DAY(MarDom1)=1,IF(AND(YEAR(MarDom1+17)=AñoCalendario,MONTH(MarDom1+17)=3),MarDom1+17,""),IF(AND(YEAR(MarDom1+24)=AñoCalendario,MONTH(MarDom1+24)=3),MarDom1+24,""))</f>
        <v>44278</v>
      </c>
      <c r="AA17" s="14" cm="1">
        <f t="array" ref="AA17">IF(DAY(MarDom1)=1,IF(AND(YEAR(MarDom1+18)=AñoCalendario,MONTH(MarDom1+18)=3),MarDom1+18,""),IF(AND(YEAR(MarDom1+25)=AñoCalendario,MONTH(MarDom1+25)=3),MarDom1+25,""))</f>
        <v>44279</v>
      </c>
      <c r="AB17" s="14" cm="1">
        <f t="array" ref="AB17">IF(DAY(MarDom1)=1,IF(AND(YEAR(MarDom1+19)=AñoCalendario,MONTH(MarDom1+19)=3),MarDom1+19,""),IF(AND(YEAR(MarDom1+26)=AñoCalendario,MONTH(MarDom1+26)=3),MarDom1+26,""))</f>
        <v>44280</v>
      </c>
      <c r="AC17" s="14" cm="1">
        <f t="array" ref="AC17">IF(DAY(MarDom1)=1,IF(AND(YEAR(MarDom1+20)=AñoCalendario,MONTH(MarDom1+20)=3),MarDom1+20,""),IF(AND(YEAR(MarDom1+27)=AñoCalendario,MONTH(MarDom1+27)=3),MarDom1+27,""))</f>
        <v>44281</v>
      </c>
      <c r="AD17" s="14" cm="1">
        <f t="array" ref="AD17">IF(DAY(MarDom1)=1,IF(AND(YEAR(MarDom1+21)=AñoCalendario,MONTH(MarDom1+21)=3),MarDom1+21,""),IF(AND(YEAR(MarDom1+28)=AñoCalendario,MONTH(MarDom1+28)=3),MarDom1+28,""))</f>
        <v>44282</v>
      </c>
      <c r="AE17" s="14" cm="1">
        <f t="array" ref="AE17">IF(DAY(MarDom1)=1,IF(AND(YEAR(MarDom1+22)=AñoCalendario,MONTH(MarDom1+22)=3),MarDom1+22,""),IF(AND(YEAR(MarDom1+29)=AñoCalendario,MONTH(MarDom1+29)=3),MarDom1+29,""))</f>
        <v>44283</v>
      </c>
      <c r="AF17" s="14" cm="1">
        <f t="array" ref="AF17">IF(DAY(MarDom1)=1,IF(AND(YEAR(MarDom1+23)=AñoCalendario,MONTH(MarDom1+23)=3),MarDom1+23,""),IF(AND(YEAR(MarDom1+30)=AñoCalendario,MONTH(MarDom1+30)=3),MarDom1+30,""))</f>
        <v>44284</v>
      </c>
      <c r="AG17" s="14" cm="1">
        <f t="array" ref="AG17">IF(DAY(MarDom1)=1,IF(AND(YEAR(MarDom1+24)=AñoCalendario,MONTH(MarDom1+24)=3),MarDom1+24,""),IF(AND(YEAR(MarDom1+31)=AñoCalendario,MONTH(MarDom1+31)=3),MarDom1+31,""))</f>
        <v>44285</v>
      </c>
      <c r="AH17" s="14" cm="1">
        <f t="array" ref="AH17">IF(DAY(MarDom1)=1,IF(AND(YEAR(MarDom1+25)=AñoCalendario,MONTH(MarDom1+25)=3),MarDom1+25,""),IF(AND(YEAR(MarDom1+32)=AñoCalendario,MONTH(MarDom1+32)=3),MarDom1+32,""))</f>
        <v>44286</v>
      </c>
      <c r="AI17" s="14" t="str" cm="1">
        <f t="array" ref="AI17">IF(DAY(MarDom1)=1,IF(AND(YEAR(MarDom1+26)=AñoCalendario,MONTH(MarDom1+26)=3),MarDom1+26,""),IF(AND(YEAR(MarDom1+33)=AñoCalendario,MONTH(MarDom1+33)=3),MarDom1+33,""))</f>
        <v/>
      </c>
      <c r="AJ17" s="14" t="str" cm="1">
        <f t="array" ref="AJ17">IF(DAY(MarDom1)=1,IF(AND(YEAR(MarDom1+27)=AñoCalendario,MONTH(MarDom1+27)=3),MarDom1+27,""),IF(AND(YEAR(MarDom1+34)=AñoCalendario,MONTH(MarDom1+34)=3),MarDom1+34,""))</f>
        <v/>
      </c>
      <c r="AK17" s="14" t="str" cm="1">
        <f t="array" ref="AK17">IF(DAY(MarDom1)=1,IF(AND(YEAR(MarDom1+28)=AñoCalendario,MONTH(MarDom1+28)=3),MarDom1+28,""),IF(AND(YEAR(MarDom1+35)=AñoCalendario,MONTH(MarDom1+35)=3),MarDom1+35,""))</f>
        <v/>
      </c>
      <c r="AL17" s="14" t="str" cm="1">
        <f t="array" ref="AL17">IF(DAY(MarDom1)=1,IF(AND(YEAR(MarDom1+29)=AñoCalendario,MONTH(MarDom1+29)=3),MarDom1+29,""),IF(AND(YEAR(MarDom1+36)=AñoCalendario,MONTH(MarDom1+36)=3),MarDom1+36,""))</f>
        <v/>
      </c>
      <c r="AM17" s="15" t="str" cm="1">
        <f t="array" ref="AM17">IF(DAY(MarDom1)=1,IF(AND(YEAR(MarDom1+30)=AñoCalendario,MONTH(MarDom1+30)=3),MarDom1+30,""),IF(AND(YEAR(MarDom1+37)=AñoCalendario,MONTH(MarDom1+37)=3),MarDom1+37,""))</f>
        <v/>
      </c>
    </row>
    <row r="18" spans="2:39" s="12" customFormat="1" ht="18.899999999999999" customHeight="1" x14ac:dyDescent="0.35">
      <c r="B18" s="49"/>
      <c r="C18" s="13" t="s">
        <v>0</v>
      </c>
      <c r="D18" s="13" t="s">
        <v>1</v>
      </c>
      <c r="E18" s="13" t="s">
        <v>2</v>
      </c>
      <c r="F18" s="13" t="s">
        <v>3</v>
      </c>
      <c r="G18" s="13" t="s">
        <v>4</v>
      </c>
      <c r="H18" s="13" t="s">
        <v>5</v>
      </c>
      <c r="I18" s="13" t="s">
        <v>6</v>
      </c>
      <c r="J18" s="13" t="s">
        <v>0</v>
      </c>
      <c r="K18" s="13" t="s">
        <v>1</v>
      </c>
      <c r="L18" s="13" t="s">
        <v>2</v>
      </c>
      <c r="M18" s="13" t="s">
        <v>3</v>
      </c>
      <c r="N18" s="13" t="s">
        <v>4</v>
      </c>
      <c r="O18" s="13" t="s">
        <v>5</v>
      </c>
      <c r="P18" s="13" t="s">
        <v>6</v>
      </c>
      <c r="Q18" s="13" t="s">
        <v>0</v>
      </c>
      <c r="R18" s="13" t="s">
        <v>1</v>
      </c>
      <c r="S18" s="13" t="s">
        <v>2</v>
      </c>
      <c r="T18" s="13" t="s">
        <v>3</v>
      </c>
      <c r="U18" s="13" t="s">
        <v>4</v>
      </c>
      <c r="V18" s="13" t="s">
        <v>5</v>
      </c>
      <c r="W18" s="13" t="s">
        <v>6</v>
      </c>
      <c r="X18" s="13" t="s">
        <v>0</v>
      </c>
      <c r="Y18" s="13" t="s">
        <v>1</v>
      </c>
      <c r="Z18" s="13" t="s">
        <v>2</v>
      </c>
      <c r="AA18" s="13" t="s">
        <v>3</v>
      </c>
      <c r="AB18" s="13" t="s">
        <v>4</v>
      </c>
      <c r="AC18" s="13" t="s">
        <v>5</v>
      </c>
      <c r="AD18" s="13" t="s">
        <v>6</v>
      </c>
      <c r="AE18" s="13" t="s">
        <v>0</v>
      </c>
      <c r="AF18" s="13" t="s">
        <v>1</v>
      </c>
      <c r="AG18" s="13" t="s">
        <v>2</v>
      </c>
      <c r="AH18" s="13" t="s">
        <v>3</v>
      </c>
      <c r="AI18" s="13" t="s">
        <v>4</v>
      </c>
      <c r="AJ18" s="13" t="s">
        <v>5</v>
      </c>
      <c r="AK18" s="13" t="s">
        <v>6</v>
      </c>
      <c r="AL18" s="13" t="s">
        <v>0</v>
      </c>
      <c r="AM18" s="16" t="s">
        <v>1</v>
      </c>
    </row>
    <row r="19" spans="2:39" ht="18.899999999999999" customHeight="1" x14ac:dyDescent="0.35">
      <c r="B19" s="10" t="str">
        <f>IF(Trabajo1_Nombre="","",Trabajo1_Nombre)</f>
        <v>Trabajo 1</v>
      </c>
      <c r="C19" s="41" t="str">
        <f t="shared" ref="C19:AM19" si="6">IF(OR(NOT(ISNUMBER(C17)),C17&lt;_xlfn.SINGLE(Trabajo1_DíaInicio)),"",IF(MID(_xlfn.SINGLE(Trabajo1_Patrón),MOD(C17-_xlfn.SINGLE(Trabajo1_DíaInicio),LEN(_xlfn.SINGLE(Trabajo1_Patrón)))+1,1)=_xlfn.SINGLE(Trabajo1_Turno1_Código),1,IF(MID(_xlfn.SINGLE(Trabajo1_Patrón),MOD(C17-_xlfn.SINGLE(Trabajo1_DíaInicio),LEN(_xlfn.SINGLE(Trabajo1_Patrón)))+1,1)=_xlfn.SINGLE(Trabajo1_Turno2_Código),2,IF(MID(_xlfn.SINGLE(Trabajo1_Patrón),MOD(C17-_xlfn.SINGLE(Trabajo1_DíaInicio),LEN(_xlfn.SINGLE(Trabajo1_Patrón)))+1,1)=_xlfn.SINGLE(Trabajo1_Turno3_Código),3,""))))</f>
        <v/>
      </c>
      <c r="D19" s="41">
        <f t="shared" si="6"/>
        <v>2</v>
      </c>
      <c r="E19" s="41">
        <f t="shared" si="6"/>
        <v>2</v>
      </c>
      <c r="F19" s="41" t="str">
        <f t="shared" si="6"/>
        <v/>
      </c>
      <c r="G19" s="41" t="str">
        <f t="shared" si="6"/>
        <v/>
      </c>
      <c r="H19" s="41" t="str">
        <f t="shared" si="6"/>
        <v/>
      </c>
      <c r="I19" s="41">
        <f t="shared" si="6"/>
        <v>1</v>
      </c>
      <c r="J19" s="41">
        <f t="shared" si="6"/>
        <v>1</v>
      </c>
      <c r="K19" s="41">
        <f t="shared" si="6"/>
        <v>1</v>
      </c>
      <c r="L19" s="41">
        <f t="shared" si="6"/>
        <v>1</v>
      </c>
      <c r="M19" s="41" t="str">
        <f t="shared" si="6"/>
        <v/>
      </c>
      <c r="N19" s="41" t="str">
        <f t="shared" si="6"/>
        <v/>
      </c>
      <c r="O19" s="41">
        <f t="shared" si="6"/>
        <v>2</v>
      </c>
      <c r="P19" s="41">
        <f t="shared" si="6"/>
        <v>2</v>
      </c>
      <c r="Q19" s="41">
        <f t="shared" si="6"/>
        <v>2</v>
      </c>
      <c r="R19" s="41">
        <f t="shared" si="6"/>
        <v>2</v>
      </c>
      <c r="S19" s="41" t="str">
        <f t="shared" si="6"/>
        <v/>
      </c>
      <c r="T19" s="41" t="str">
        <f t="shared" si="6"/>
        <v/>
      </c>
      <c r="U19" s="41">
        <f t="shared" si="6"/>
        <v>1</v>
      </c>
      <c r="V19" s="41">
        <f t="shared" si="6"/>
        <v>1</v>
      </c>
      <c r="W19" s="41">
        <f t="shared" si="6"/>
        <v>1</v>
      </c>
      <c r="X19" s="41" t="str">
        <f t="shared" si="6"/>
        <v/>
      </c>
      <c r="Y19" s="41">
        <f t="shared" si="6"/>
        <v>2</v>
      </c>
      <c r="Z19" s="41">
        <f t="shared" si="6"/>
        <v>2</v>
      </c>
      <c r="AA19" s="41">
        <f t="shared" si="6"/>
        <v>2</v>
      </c>
      <c r="AB19" s="41" t="str">
        <f t="shared" si="6"/>
        <v/>
      </c>
      <c r="AC19" s="41" t="str">
        <f t="shared" si="6"/>
        <v/>
      </c>
      <c r="AD19" s="41" t="str">
        <f t="shared" si="6"/>
        <v/>
      </c>
      <c r="AE19" s="41">
        <f t="shared" si="6"/>
        <v>1</v>
      </c>
      <c r="AF19" s="41">
        <f t="shared" si="6"/>
        <v>1</v>
      </c>
      <c r="AG19" s="41" t="str">
        <f t="shared" si="6"/>
        <v/>
      </c>
      <c r="AH19" s="41">
        <f t="shared" si="6"/>
        <v>2</v>
      </c>
      <c r="AI19" s="41" t="str">
        <f t="shared" si="6"/>
        <v/>
      </c>
      <c r="AJ19" s="41" t="str">
        <f t="shared" si="6"/>
        <v/>
      </c>
      <c r="AK19" s="41" t="str">
        <f t="shared" si="6"/>
        <v/>
      </c>
      <c r="AL19" s="41" t="str">
        <f t="shared" si="6"/>
        <v/>
      </c>
      <c r="AM19" s="41" t="str">
        <f t="shared" si="6"/>
        <v/>
      </c>
    </row>
    <row r="20" spans="2:39" ht="18.899999999999999" customHeight="1" x14ac:dyDescent="0.35">
      <c r="B20" s="11" t="str">
        <f>IF(Trabajo2_Nombre="","",Trabajo2_Nombre)</f>
        <v>Trabajo 2</v>
      </c>
      <c r="C20" s="42" t="str">
        <f t="shared" ref="C20:AM20" si="7">IF(OR(NOT(ISNUMBER(C17)),C17&lt;_xlfn.SINGLE(Trabajo2_DíaInicio)),"",IF(MID(_xlfn.SINGLE(Trabajo2_Patrón),MOD(C17-_xlfn.SINGLE(Trabajo2_DíaInicio),LEN(_xlfn.SINGLE(Trabajo2_Patrón)))+1,1)=_xlfn.SINGLE(Trabajo2_Turno1_Código),1,IF(MID(_xlfn.SINGLE(Trabajo2_Patrón),MOD(C17-_xlfn.SINGLE(Trabajo2_DíaInicio),LEN(_xlfn.SINGLE(Trabajo2_Patrón)))+1,1)=_xlfn.SINGLE(Trabajo2_Turno2_Código),2,IF(MID(_xlfn.SINGLE(Trabajo2_Patrón),MOD(C17-_xlfn.SINGLE(Trabajo2_DíaInicio),LEN(_xlfn.SINGLE(Trabajo2_Patrón)))+1,1)=_xlfn.SINGLE(Trabajo2_Turno3_Código),3,""))))</f>
        <v/>
      </c>
      <c r="D20" s="42" t="str">
        <f t="shared" si="7"/>
        <v/>
      </c>
      <c r="E20" s="42" t="str">
        <f t="shared" si="7"/>
        <v/>
      </c>
      <c r="F20" s="42">
        <f t="shared" si="7"/>
        <v>1</v>
      </c>
      <c r="G20" s="42">
        <f t="shared" si="7"/>
        <v>1</v>
      </c>
      <c r="H20" s="42" t="str">
        <f t="shared" si="7"/>
        <v/>
      </c>
      <c r="I20" s="42" t="str">
        <f t="shared" si="7"/>
        <v/>
      </c>
      <c r="J20" s="42" t="str">
        <f t="shared" si="7"/>
        <v/>
      </c>
      <c r="K20" s="42">
        <f t="shared" si="7"/>
        <v>2</v>
      </c>
      <c r="L20" s="42">
        <f t="shared" si="7"/>
        <v>2</v>
      </c>
      <c r="M20" s="42" t="str">
        <f t="shared" si="7"/>
        <v/>
      </c>
      <c r="N20" s="42">
        <f t="shared" si="7"/>
        <v>1</v>
      </c>
      <c r="O20" s="42">
        <f t="shared" si="7"/>
        <v>1</v>
      </c>
      <c r="P20" s="42" t="str">
        <f t="shared" si="7"/>
        <v/>
      </c>
      <c r="Q20" s="42" t="str">
        <f t="shared" si="7"/>
        <v/>
      </c>
      <c r="R20" s="42" t="str">
        <f t="shared" si="7"/>
        <v/>
      </c>
      <c r="S20" s="42">
        <f t="shared" si="7"/>
        <v>2</v>
      </c>
      <c r="T20" s="42">
        <f t="shared" si="7"/>
        <v>2</v>
      </c>
      <c r="U20" s="42">
        <f t="shared" si="7"/>
        <v>2</v>
      </c>
      <c r="V20" s="42">
        <f t="shared" si="7"/>
        <v>2</v>
      </c>
      <c r="W20" s="42" t="str">
        <f t="shared" si="7"/>
        <v/>
      </c>
      <c r="X20" s="42" t="str">
        <f t="shared" si="7"/>
        <v/>
      </c>
      <c r="Y20" s="42" t="str">
        <f t="shared" si="7"/>
        <v/>
      </c>
      <c r="Z20" s="42" t="str">
        <f t="shared" si="7"/>
        <v/>
      </c>
      <c r="AA20" s="42" t="str">
        <f t="shared" si="7"/>
        <v/>
      </c>
      <c r="AB20" s="42">
        <f t="shared" si="7"/>
        <v>1</v>
      </c>
      <c r="AC20" s="42" t="str">
        <f t="shared" si="7"/>
        <v/>
      </c>
      <c r="AD20" s="42" t="str">
        <f t="shared" si="7"/>
        <v/>
      </c>
      <c r="AE20" s="42">
        <f t="shared" si="7"/>
        <v>2</v>
      </c>
      <c r="AF20" s="42">
        <f t="shared" si="7"/>
        <v>2</v>
      </c>
      <c r="AG20" s="42">
        <f t="shared" si="7"/>
        <v>2</v>
      </c>
      <c r="AH20" s="42" t="str">
        <f t="shared" si="7"/>
        <v/>
      </c>
      <c r="AI20" s="42" t="str">
        <f t="shared" si="7"/>
        <v/>
      </c>
      <c r="AJ20" s="42" t="str">
        <f t="shared" si="7"/>
        <v/>
      </c>
      <c r="AK20" s="42" t="str">
        <f t="shared" si="7"/>
        <v/>
      </c>
      <c r="AL20" s="42" t="str">
        <f t="shared" si="7"/>
        <v/>
      </c>
      <c r="AM20" s="42" t="str">
        <f t="shared" si="7"/>
        <v/>
      </c>
    </row>
    <row r="21" spans="2:39" ht="18.899999999999999" customHeight="1" x14ac:dyDescent="0.35">
      <c r="B21" s="11" t="str">
        <f>_xlfn.SINGLE(IF(_xlfn.SINGLE(Trabajo3_Nombre)="","",Trabajo3_Nombre))</f>
        <v>Trabajo 3</v>
      </c>
      <c r="C21" s="42" t="str">
        <f t="shared" ref="C21:AM21" si="8">IF(OR(NOT(ISNUMBER(C17)),C17&lt;_xlfn.SINGLE(Trabajo3_DíaInicio)),"",IF(MID(_xlfn.SINGLE(Trabajo3_Patrón),MOD(C17-_xlfn.SINGLE(Trabajo3_DíaInicio),LEN(_xlfn.SINGLE(Trabajo3_Patrón)))+1,1)=_xlfn.SINGLE(Trabajo3_Turno1_Código),1,IF(MID(_xlfn.SINGLE(Trabajo3_Patrón),MOD(C17-_xlfn.SINGLE(Trabajo3_DíaInicio),LEN(_xlfn.SINGLE(Trabajo3_Patrón)))+1,1)=_xlfn.SINGLE(Trabajo3_Turno2_Código),2,IF(MID(_xlfn.SINGLE(Trabajo3_Patrón),MOD(C17-_xlfn.SINGLE(Trabajo3_DíaInicio),LEN(_xlfn.SINGLE(Trabajo3_Patrón)))+1,1)=_xlfn.SINGLE(Trabajo3_Turno3_Código),3,""))))</f>
        <v/>
      </c>
      <c r="D21" s="42" t="str">
        <f t="shared" si="8"/>
        <v/>
      </c>
      <c r="E21" s="42">
        <f t="shared" si="8"/>
        <v>3</v>
      </c>
      <c r="F21" s="42">
        <f t="shared" si="8"/>
        <v>3</v>
      </c>
      <c r="G21" s="42">
        <f t="shared" si="8"/>
        <v>3</v>
      </c>
      <c r="H21" s="42" t="str">
        <f t="shared" si="8"/>
        <v/>
      </c>
      <c r="I21" s="42" t="str">
        <f t="shared" si="8"/>
        <v/>
      </c>
      <c r="J21" s="42" t="str">
        <f t="shared" si="8"/>
        <v/>
      </c>
      <c r="K21" s="42">
        <f t="shared" si="8"/>
        <v>3</v>
      </c>
      <c r="L21" s="42" t="str">
        <f t="shared" si="8"/>
        <v/>
      </c>
      <c r="M21" s="42" t="str">
        <f t="shared" si="8"/>
        <v/>
      </c>
      <c r="N21" s="42" t="str">
        <f t="shared" si="8"/>
        <v/>
      </c>
      <c r="O21" s="42" t="str">
        <f t="shared" si="8"/>
        <v/>
      </c>
      <c r="P21" s="42" t="str">
        <f t="shared" si="8"/>
        <v/>
      </c>
      <c r="Q21" s="42" t="str">
        <f t="shared" si="8"/>
        <v/>
      </c>
      <c r="R21" s="42">
        <f t="shared" si="8"/>
        <v>3</v>
      </c>
      <c r="S21" s="42">
        <f t="shared" si="8"/>
        <v>3</v>
      </c>
      <c r="T21" s="42" t="str">
        <f t="shared" si="8"/>
        <v/>
      </c>
      <c r="U21" s="42" t="str">
        <f t="shared" si="8"/>
        <v/>
      </c>
      <c r="V21" s="42" t="str">
        <f t="shared" si="8"/>
        <v/>
      </c>
      <c r="W21" s="42">
        <f t="shared" si="8"/>
        <v>3</v>
      </c>
      <c r="X21" s="42">
        <f t="shared" si="8"/>
        <v>3</v>
      </c>
      <c r="Y21" s="42" t="str">
        <f t="shared" si="8"/>
        <v/>
      </c>
      <c r="Z21" s="42" t="str">
        <f t="shared" si="8"/>
        <v/>
      </c>
      <c r="AA21" s="42" t="str">
        <f t="shared" si="8"/>
        <v/>
      </c>
      <c r="AB21" s="42" t="str">
        <f t="shared" si="8"/>
        <v/>
      </c>
      <c r="AC21" s="42">
        <f t="shared" si="8"/>
        <v>3</v>
      </c>
      <c r="AD21" s="42">
        <f t="shared" si="8"/>
        <v>3</v>
      </c>
      <c r="AE21" s="42" t="str">
        <f t="shared" si="8"/>
        <v/>
      </c>
      <c r="AF21" s="42" t="str">
        <f t="shared" si="8"/>
        <v/>
      </c>
      <c r="AG21" s="42" t="str">
        <f t="shared" si="8"/>
        <v/>
      </c>
      <c r="AH21" s="42" t="str">
        <f t="shared" si="8"/>
        <v/>
      </c>
      <c r="AI21" s="42" t="str">
        <f t="shared" si="8"/>
        <v/>
      </c>
      <c r="AJ21" s="42" t="str">
        <f t="shared" si="8"/>
        <v/>
      </c>
      <c r="AK21" s="42" t="str">
        <f t="shared" si="8"/>
        <v/>
      </c>
      <c r="AL21" s="42" t="str">
        <f t="shared" si="8"/>
        <v/>
      </c>
      <c r="AM21" s="42" t="str">
        <f t="shared" si="8"/>
        <v/>
      </c>
    </row>
    <row r="22" spans="2:39" ht="12" customHeight="1" x14ac:dyDescent="0.35"/>
    <row r="23" spans="2:39" s="12" customFormat="1" ht="18.899999999999999" customHeight="1" x14ac:dyDescent="0.35">
      <c r="B23" s="48">
        <f>DATE(AñoCalendario,4,1)</f>
        <v>44287</v>
      </c>
      <c r="C23" s="14" t="str" cm="1">
        <f t="array" ref="C23">IF(DAY(AbrDom1)=1,"",IF(AND(YEAR(AbrDom1+1)=AñoCalendario,MONTH(AbrDom1+1)=4),AbrDom1+1,""))</f>
        <v/>
      </c>
      <c r="D23" s="14" t="str" cm="1">
        <f t="array" ref="D23">IF(DAY(AbrDom1)=1,"",IF(AND(YEAR(AbrDom1+2)=AñoCalendario,MONTH(AbrDom1+2)=4),AbrDom1+2,""))</f>
        <v/>
      </c>
      <c r="E23" s="14" t="str" cm="1">
        <f t="array" ref="E23">IF(DAY(AbrDom1)=1,"",IF(AND(YEAR(AbrDom1+3)=AñoCalendario,MONTH(AbrDom1+3)=4),AbrDom1+3,""))</f>
        <v/>
      </c>
      <c r="F23" s="14" t="str" cm="1">
        <f t="array" ref="F23">IF(DAY(AbrDom1)=1,"",IF(AND(YEAR(AbrDom1+4)=AñoCalendario,MONTH(AbrDom1+4)=4),AbrDom1+4,""))</f>
        <v/>
      </c>
      <c r="G23" s="14" cm="1">
        <f t="array" ref="G23">IF(DAY(AbrDom1)=1,"",IF(AND(YEAR(AbrDom1+5)=AñoCalendario,MONTH(AbrDom1+5)=4),AbrDom1+5,""))</f>
        <v>44287</v>
      </c>
      <c r="H23" s="14" cm="1">
        <f t="array" ref="H23">IF(DAY(AbrDom1)=1,"",IF(AND(YEAR(AbrDom1+6)=AñoCalendario,MONTH(AbrDom1+6)=4),AbrDom1+6,""))</f>
        <v>44288</v>
      </c>
      <c r="I23" s="14" cm="1">
        <f t="array" ref="I23">_xlfn.SINGLE(IF(DAY(AbrDom1)=1,IF(AND(YEAR(AbrDom1)=AñoCalendario,MONTH(AbrDom1)=4),AprSun1,""),IF(AND(YEAR(AbrDom1+7)=AñoCalendario,MONTH(AbrDom1+7)=4),AbrDom1+7,"")))</f>
        <v>44289</v>
      </c>
      <c r="J23" s="14" cm="1">
        <f t="array" ref="J23">IF(DAY(AbrDom1)=1,IF(AND(YEAR(AbrDom1+1)=AñoCalendario,MONTH(AbrDom1+1)=4),AbrDom1+1,""),IF(AND(YEAR(AbrDom1+8)=AñoCalendario,MONTH(AbrDom1+8)=4),AbrDom1+8,""))</f>
        <v>44290</v>
      </c>
      <c r="K23" s="14" cm="1">
        <f t="array" ref="K23">IF(DAY(AbrDom1)=1,IF(AND(YEAR(AbrDom1+2)=AñoCalendario,MONTH(AbrDom1+2)=4),AbrDom1+2,""),IF(AND(YEAR(AbrDom1+9)=AñoCalendario,MONTH(AbrDom1+9)=4),AbrDom1+9,""))</f>
        <v>44291</v>
      </c>
      <c r="L23" s="14" cm="1">
        <f t="array" ref="L23">IF(DAY(AbrDom1)=1,IF(AND(YEAR(AbrDom1+3)=AñoCalendario,MONTH(AbrDom1+3)=4),AbrDom1+3,""),IF(AND(YEAR(AbrDom1+10)=AñoCalendario,MONTH(AbrDom1+10)=4),AbrDom1+10,""))</f>
        <v>44292</v>
      </c>
      <c r="M23" s="14" cm="1">
        <f t="array" ref="M23">IF(DAY(AbrDom1)=1,IF(AND(YEAR(AbrDom1+4)=AñoCalendario,MONTH(AbrDom1+4)=4),AbrDom1+4,""),IF(AND(YEAR(AbrDom1+11)=AñoCalendario,MONTH(AbrDom1+11)=4),AbrDom1+11,""))</f>
        <v>44293</v>
      </c>
      <c r="N23" s="14" cm="1">
        <f t="array" ref="N23">IF(DAY(AbrDom1)=1,IF(AND(YEAR(AbrDom1+5)=AñoCalendario,MONTH(AbrDom1+5)=4),AbrDom1+5,""),IF(AND(YEAR(AbrDom1+12)=AñoCalendario,MONTH(AbrDom1+12)=4),AbrDom1+12,""))</f>
        <v>44294</v>
      </c>
      <c r="O23" s="14" cm="1">
        <f t="array" ref="O23">IF(DAY(AbrDom1)=1,IF(AND(YEAR(AbrDom1+6)=AñoCalendario,MONTH(AbrDom1+6)=4),AbrDom1+6,""),IF(AND(YEAR(AbrDom1+13)=AñoCalendario,MONTH(AbrDom1+13)=4),AbrDom1+13,""))</f>
        <v>44295</v>
      </c>
      <c r="P23" s="14" cm="1">
        <f t="array" ref="P23">IF(DAY(AbrDom1)=1,IF(AND(YEAR(AbrDom1+7)=AñoCalendario,MONTH(AbrDom1+7)=4),AbrDom1+7,""),IF(AND(YEAR(AbrDom1+14)=AñoCalendario,MONTH(AbrDom1+14)=4),AbrDom1+14,""))</f>
        <v>44296</v>
      </c>
      <c r="Q23" s="14" cm="1">
        <f t="array" ref="Q23">IF(DAY(AbrDom1)=1,IF(AND(YEAR(AbrDom1+8)=AñoCalendario,MONTH(AbrDom1+8)=4),AbrDom1+8,""),IF(AND(YEAR(AbrDom1+15)=AñoCalendario,MONTH(AbrDom1+15)=4),AbrDom1+15,""))</f>
        <v>44297</v>
      </c>
      <c r="R23" s="14" cm="1">
        <f t="array" ref="R23">IF(DAY(AbrDom1)=1,IF(AND(YEAR(AbrDom1+9)=AñoCalendario,MONTH(AbrDom1+9)=4),AbrDom1+9,""),IF(AND(YEAR(AbrDom1+16)=AñoCalendario,MONTH(AbrDom1+16)=4),AbrDom1+16,""))</f>
        <v>44298</v>
      </c>
      <c r="S23" s="14" cm="1">
        <f t="array" ref="S23">IF(DAY(AbrDom1)=1,IF(AND(YEAR(AbrDom1+10)=AñoCalendario,MONTH(AbrDom1+10)=4),AbrDom1+10,""),IF(AND(YEAR(AbrDom1+17)=AñoCalendario,MONTH(AbrDom1+17)=4),AbrDom1+17,""))</f>
        <v>44299</v>
      </c>
      <c r="T23" s="14" cm="1">
        <f t="array" ref="T23">IF(DAY(AbrDom1)=1,IF(AND(YEAR(AbrDom1+11)=AñoCalendario,MONTH(AbrDom1+11)=4),AbrDom1+11,""),IF(AND(YEAR(AbrDom1+18)=AñoCalendario,MONTH(AbrDom1+18)=4),AbrDom1+18,""))</f>
        <v>44300</v>
      </c>
      <c r="U23" s="14" cm="1">
        <f t="array" ref="U23">IF(DAY(AbrDom1)=1,IF(AND(YEAR(AbrDom1+12)=AñoCalendario,MONTH(AbrDom1+12)=4),AbrDom1+12,""),IF(AND(YEAR(AbrDom1+19)=AñoCalendario,MONTH(AbrDom1+19)=4),AbrDom1+19,""))</f>
        <v>44301</v>
      </c>
      <c r="V23" s="14" cm="1">
        <f t="array" ref="V23">IF(DAY(AbrDom1)=1,IF(AND(YEAR(AbrDom1+13)=AñoCalendario,MONTH(AbrDom1+13)=4),AbrDom1+13,""),IF(AND(YEAR(AbrDom1+20)=AñoCalendario,MONTH(AbrDom1+20)=4),AbrDom1+20,""))</f>
        <v>44302</v>
      </c>
      <c r="W23" s="14" cm="1">
        <f t="array" ref="W23">IF(DAY(AbrDom1)=1,IF(AND(YEAR(AbrDom1+14)=AñoCalendario,MONTH(AbrDom1+14)=4),AbrDom1+14,""),IF(AND(YEAR(AbrDom1+21)=AñoCalendario,MONTH(AbrDom1+21)=4),AbrDom1+21,""))</f>
        <v>44303</v>
      </c>
      <c r="X23" s="14" cm="1">
        <f t="array" ref="X23">IF(DAY(AbrDom1)=1,IF(AND(YEAR(AbrDom1+15)=AñoCalendario,MONTH(AbrDom1+15)=4),AbrDom1+15,""),IF(AND(YEAR(AbrDom1+22)=AñoCalendario,MONTH(AbrDom1+22)=4),AbrDom1+22,""))</f>
        <v>44304</v>
      </c>
      <c r="Y23" s="14" cm="1">
        <f t="array" ref="Y23">IF(DAY(AbrDom1)=1,IF(AND(YEAR(AbrDom1+16)=AñoCalendario,MONTH(AbrDom1+16)=4),AbrDom1+16,""),IF(AND(YEAR(AbrDom1+23)=AñoCalendario,MONTH(AbrDom1+23)=4),AbrDom1+23,""))</f>
        <v>44305</v>
      </c>
      <c r="Z23" s="14" cm="1">
        <f t="array" ref="Z23">IF(DAY(AbrDom1)=1,IF(AND(YEAR(AbrDom1+17)=AñoCalendario,MONTH(AbrDom1+17)=4),AbrDom1+17,""),IF(AND(YEAR(AbrDom1+24)=AñoCalendario,MONTH(AbrDom1+24)=4),AbrDom1+24,""))</f>
        <v>44306</v>
      </c>
      <c r="AA23" s="14" cm="1">
        <f t="array" ref="AA23">IF(DAY(AbrDom1)=1,IF(AND(YEAR(AbrDom1+18)=AñoCalendario,MONTH(AbrDom1+18)=4),AbrDom1+18,""),IF(AND(YEAR(AbrDom1+25)=AñoCalendario,MONTH(AbrDom1+25)=4),AbrDom1+25,""))</f>
        <v>44307</v>
      </c>
      <c r="AB23" s="14" cm="1">
        <f t="array" ref="AB23">IF(DAY(AbrDom1)=1,IF(AND(YEAR(AbrDom1+19)=AñoCalendario,MONTH(AbrDom1+19)=4),AbrDom1+19,""),IF(AND(YEAR(AbrDom1+26)=AñoCalendario,MONTH(AbrDom1+26)=4),AbrDom1+26,""))</f>
        <v>44308</v>
      </c>
      <c r="AC23" s="14" cm="1">
        <f t="array" ref="AC23">IF(DAY(AbrDom1)=1,IF(AND(YEAR(AbrDom1+20)=AñoCalendario,MONTH(AbrDom1+20)=4),AbrDom1+20,""),IF(AND(YEAR(AbrDom1+27)=AñoCalendario,MONTH(AbrDom1+27)=4),AbrDom1+27,""))</f>
        <v>44309</v>
      </c>
      <c r="AD23" s="14" cm="1">
        <f t="array" ref="AD23">IF(DAY(AbrDom1)=1,IF(AND(YEAR(AbrDom1+21)=AñoCalendario,MONTH(AbrDom1+21)=4),AbrDom1+21,""),IF(AND(YEAR(AbrDom1+28)=AñoCalendario,MONTH(AbrDom1+28)=4),AbrDom1+28,""))</f>
        <v>44310</v>
      </c>
      <c r="AE23" s="14" cm="1">
        <f t="array" ref="AE23">IF(DAY(AbrDom1)=1,IF(AND(YEAR(AbrDom1+22)=AñoCalendario,MONTH(AbrDom1+22)=4),AbrDom1+22,""),IF(AND(YEAR(AbrDom1+29)=AñoCalendario,MONTH(AbrDom1+29)=4),AbrDom1+29,""))</f>
        <v>44311</v>
      </c>
      <c r="AF23" s="14" cm="1">
        <f t="array" ref="AF23">IF(DAY(AbrDom1)=1,IF(AND(YEAR(AbrDom1+23)=AñoCalendario,MONTH(AbrDom1+23)=4),AbrDom1+23,""),IF(AND(YEAR(AbrDom1+30)=AñoCalendario,MONTH(AbrDom1+30)=4),AbrDom1+30,""))</f>
        <v>44312</v>
      </c>
      <c r="AG23" s="14" cm="1">
        <f t="array" ref="AG23">IF(DAY(AbrDom1)=1,IF(AND(YEAR(AbrDom1+24)=AñoCalendario,MONTH(AbrDom1+24)=4),AbrDom1+24,""),IF(AND(YEAR(AbrDom1+31)=AñoCalendario,MONTH(AbrDom1+31)=4),AbrDom1+31,""))</f>
        <v>44313</v>
      </c>
      <c r="AH23" s="14" cm="1">
        <f t="array" ref="AH23">IF(DAY(AbrDom1)=1,IF(AND(YEAR(AbrDom1+25)=AñoCalendario,MONTH(AbrDom1+25)=4),AbrDom1+25,""),IF(AND(YEAR(AbrDom1+32)=AñoCalendario,MONTH(AbrDom1+32)=4),AbrDom1+32,""))</f>
        <v>44314</v>
      </c>
      <c r="AI23" s="14" cm="1">
        <f t="array" ref="AI23">IF(DAY(AbrDom1)=1,IF(AND(YEAR(AbrDom1+26)=AñoCalendario,MONTH(AbrDom1+26)=4),AbrDom1+26,""),IF(AND(YEAR(AbrDom1+33)=AñoCalendario,MONTH(AbrDom1+33)=4),AbrDom1+33,""))</f>
        <v>44315</v>
      </c>
      <c r="AJ23" s="14" cm="1">
        <f t="array" ref="AJ23">IF(DAY(AbrDom1)=1,IF(AND(YEAR(AbrDom1+27)=AñoCalendario,MONTH(AbrDom1+27)=4),AbrDom1+27,""),IF(AND(YEAR(AbrDom1+34)=AñoCalendario,MONTH(AbrDom1+34)=4),AbrDom1+34,""))</f>
        <v>44316</v>
      </c>
      <c r="AK23" s="14" t="str" cm="1">
        <f t="array" ref="AK23">IF(DAY(AbrDom1)=1,IF(AND(YEAR(AbrDom1+28)=AñoCalendario,MONTH(AbrDom1+28)=4),AbrDom1+28,""),IF(AND(YEAR(AbrDom1+35)=AñoCalendario,MONTH(AbrDom1+35)=4),AbrDom1+35,""))</f>
        <v/>
      </c>
      <c r="AL23" s="14" t="str" cm="1">
        <f t="array" ref="AL23">IF(DAY(AbrDom1)=1,IF(AND(YEAR(AbrDom1+29)=AñoCalendario,MONTH(AbrDom1+29)=4),AbrDom1+29,""),IF(AND(YEAR(AbrDom1+36)=AñoCalendario,MONTH(AbrDom1+36)=4),AbrDom1+36,""))</f>
        <v/>
      </c>
      <c r="AM23" s="15" t="str" cm="1">
        <f t="array" ref="AM23">IF(DAY(AbrDom1)=1,IF(AND(YEAR(AbrDom1+30)=AñoCalendario,MONTH(AbrDom1+30)=4),AbrDom1+30,""),IF(AND(YEAR(AbrDom1+37)=AñoCalendario,MONTH(AbrDom1+37)=4),AbrDom1+37,""))</f>
        <v/>
      </c>
    </row>
    <row r="24" spans="2:39" s="12" customFormat="1" ht="18.899999999999999" customHeight="1" x14ac:dyDescent="0.35">
      <c r="B24" s="49"/>
      <c r="C24" s="13" t="s">
        <v>0</v>
      </c>
      <c r="D24" s="13" t="s">
        <v>1</v>
      </c>
      <c r="E24" s="13" t="s">
        <v>2</v>
      </c>
      <c r="F24" s="13" t="s">
        <v>3</v>
      </c>
      <c r="G24" s="13" t="s">
        <v>4</v>
      </c>
      <c r="H24" s="13" t="s">
        <v>5</v>
      </c>
      <c r="I24" s="13" t="s">
        <v>6</v>
      </c>
      <c r="J24" s="13" t="s">
        <v>0</v>
      </c>
      <c r="K24" s="13" t="s">
        <v>1</v>
      </c>
      <c r="L24" s="13" t="s">
        <v>2</v>
      </c>
      <c r="M24" s="13" t="s">
        <v>3</v>
      </c>
      <c r="N24" s="13" t="s">
        <v>4</v>
      </c>
      <c r="O24" s="13" t="s">
        <v>5</v>
      </c>
      <c r="P24" s="13" t="s">
        <v>6</v>
      </c>
      <c r="Q24" s="13" t="s">
        <v>0</v>
      </c>
      <c r="R24" s="13" t="s">
        <v>1</v>
      </c>
      <c r="S24" s="13" t="s">
        <v>2</v>
      </c>
      <c r="T24" s="13" t="s">
        <v>3</v>
      </c>
      <c r="U24" s="13" t="s">
        <v>4</v>
      </c>
      <c r="V24" s="13" t="s">
        <v>5</v>
      </c>
      <c r="W24" s="13" t="s">
        <v>6</v>
      </c>
      <c r="X24" s="13" t="s">
        <v>0</v>
      </c>
      <c r="Y24" s="13" t="s">
        <v>1</v>
      </c>
      <c r="Z24" s="13" t="s">
        <v>2</v>
      </c>
      <c r="AA24" s="13" t="s">
        <v>3</v>
      </c>
      <c r="AB24" s="13" t="s">
        <v>4</v>
      </c>
      <c r="AC24" s="13" t="s">
        <v>5</v>
      </c>
      <c r="AD24" s="13" t="s">
        <v>6</v>
      </c>
      <c r="AE24" s="13" t="s">
        <v>0</v>
      </c>
      <c r="AF24" s="13" t="s">
        <v>1</v>
      </c>
      <c r="AG24" s="13" t="s">
        <v>2</v>
      </c>
      <c r="AH24" s="13" t="s">
        <v>3</v>
      </c>
      <c r="AI24" s="13" t="s">
        <v>4</v>
      </c>
      <c r="AJ24" s="13" t="s">
        <v>5</v>
      </c>
      <c r="AK24" s="13" t="s">
        <v>6</v>
      </c>
      <c r="AL24" s="13" t="s">
        <v>0</v>
      </c>
      <c r="AM24" s="16" t="s">
        <v>1</v>
      </c>
    </row>
    <row r="25" spans="2:39" ht="18.899999999999999" customHeight="1" x14ac:dyDescent="0.35">
      <c r="B25" s="10" t="str">
        <f>IF(Trabajo1_Nombre="","",Trabajo1_Nombre)</f>
        <v>Trabajo 1</v>
      </c>
      <c r="C25" s="41" t="str">
        <f t="shared" ref="C25:AM25" si="9">IF(OR(NOT(ISNUMBER(C23)),C23&lt;_xlfn.SINGLE(Trabajo1_DíaInicio)),"",IF(MID(_xlfn.SINGLE(Trabajo1_Patrón),MOD(C23-_xlfn.SINGLE(Trabajo1_DíaInicio),LEN(_xlfn.SINGLE(Trabajo1_Patrón)))+1,1)=_xlfn.SINGLE(Trabajo1_Turno1_Código),1,IF(MID(_xlfn.SINGLE(Trabajo1_Patrón),MOD(C23-_xlfn.SINGLE(Trabajo1_DíaInicio),LEN(_xlfn.SINGLE(Trabajo1_Patrón)))+1,1)=_xlfn.SINGLE(Trabajo1_Turno2_Código),2,IF(MID(_xlfn.SINGLE(Trabajo1_Patrón),MOD(C23-_xlfn.SINGLE(Trabajo1_DíaInicio),LEN(_xlfn.SINGLE(Trabajo1_Patrón)))+1,1)=_xlfn.SINGLE(Trabajo1_Turno3_Código),3,""))))</f>
        <v/>
      </c>
      <c r="D25" s="41" t="str">
        <f t="shared" si="9"/>
        <v/>
      </c>
      <c r="E25" s="41" t="str">
        <f t="shared" si="9"/>
        <v/>
      </c>
      <c r="F25" s="41" t="str">
        <f t="shared" si="9"/>
        <v/>
      </c>
      <c r="G25" s="41">
        <f t="shared" si="9"/>
        <v>2</v>
      </c>
      <c r="H25" s="41" t="str">
        <f t="shared" si="9"/>
        <v/>
      </c>
      <c r="I25" s="41" t="str">
        <f t="shared" si="9"/>
        <v/>
      </c>
      <c r="J25" s="41" t="str">
        <f t="shared" si="9"/>
        <v/>
      </c>
      <c r="K25" s="41">
        <f t="shared" si="9"/>
        <v>1</v>
      </c>
      <c r="L25" s="41">
        <f t="shared" si="9"/>
        <v>1</v>
      </c>
      <c r="M25" s="41">
        <f t="shared" si="9"/>
        <v>1</v>
      </c>
      <c r="N25" s="41">
        <f t="shared" si="9"/>
        <v>1</v>
      </c>
      <c r="O25" s="41" t="str">
        <f t="shared" si="9"/>
        <v/>
      </c>
      <c r="P25" s="41" t="str">
        <f t="shared" si="9"/>
        <v/>
      </c>
      <c r="Q25" s="41">
        <f t="shared" si="9"/>
        <v>2</v>
      </c>
      <c r="R25" s="41">
        <f t="shared" si="9"/>
        <v>2</v>
      </c>
      <c r="S25" s="41">
        <f t="shared" si="9"/>
        <v>2</v>
      </c>
      <c r="T25" s="41">
        <f t="shared" si="9"/>
        <v>2</v>
      </c>
      <c r="U25" s="41" t="str">
        <f t="shared" si="9"/>
        <v/>
      </c>
      <c r="V25" s="41" t="str">
        <f t="shared" si="9"/>
        <v/>
      </c>
      <c r="W25" s="41">
        <f t="shared" si="9"/>
        <v>1</v>
      </c>
      <c r="X25" s="41">
        <f t="shared" si="9"/>
        <v>1</v>
      </c>
      <c r="Y25" s="41">
        <f t="shared" si="9"/>
        <v>1</v>
      </c>
      <c r="Z25" s="41" t="str">
        <f t="shared" si="9"/>
        <v/>
      </c>
      <c r="AA25" s="41">
        <f t="shared" si="9"/>
        <v>2</v>
      </c>
      <c r="AB25" s="41">
        <f t="shared" si="9"/>
        <v>2</v>
      </c>
      <c r="AC25" s="41">
        <f t="shared" si="9"/>
        <v>2</v>
      </c>
      <c r="AD25" s="41" t="str">
        <f t="shared" si="9"/>
        <v/>
      </c>
      <c r="AE25" s="41" t="str">
        <f t="shared" si="9"/>
        <v/>
      </c>
      <c r="AF25" s="41" t="str">
        <f t="shared" si="9"/>
        <v/>
      </c>
      <c r="AG25" s="41">
        <f t="shared" si="9"/>
        <v>1</v>
      </c>
      <c r="AH25" s="41">
        <f t="shared" si="9"/>
        <v>1</v>
      </c>
      <c r="AI25" s="41" t="str">
        <f t="shared" si="9"/>
        <v/>
      </c>
      <c r="AJ25" s="41">
        <f t="shared" si="9"/>
        <v>2</v>
      </c>
      <c r="AK25" s="41" t="str">
        <f t="shared" si="9"/>
        <v/>
      </c>
      <c r="AL25" s="41" t="str">
        <f t="shared" si="9"/>
        <v/>
      </c>
      <c r="AM25" s="41" t="str">
        <f t="shared" si="9"/>
        <v/>
      </c>
    </row>
    <row r="26" spans="2:39" ht="18.899999999999999" customHeight="1" x14ac:dyDescent="0.35">
      <c r="B26" s="11" t="str">
        <f>IF(Trabajo2_Nombre="","",Trabajo2_Nombre)</f>
        <v>Trabajo 2</v>
      </c>
      <c r="C26" s="42" t="str">
        <f t="shared" ref="C26:AM26" si="10">IF(OR(NOT(ISNUMBER(C23)),C23&lt;_xlfn.SINGLE(Trabajo2_DíaInicio)),"",IF(MID(_xlfn.SINGLE(Trabajo2_Patrón),MOD(C23-_xlfn.SINGLE(Trabajo2_DíaInicio),LEN(_xlfn.SINGLE(Trabajo2_Patrón)))+1,1)=_xlfn.SINGLE(Trabajo2_Turno1_Código),1,IF(MID(_xlfn.SINGLE(Trabajo2_Patrón),MOD(C23-_xlfn.SINGLE(Trabajo2_DíaInicio),LEN(_xlfn.SINGLE(Trabajo2_Patrón)))+1,1)=_xlfn.SINGLE(Trabajo2_Turno2_Código),2,IF(MID(_xlfn.SINGLE(Trabajo2_Patrón),MOD(C23-_xlfn.SINGLE(Trabajo2_DíaInicio),LEN(_xlfn.SINGLE(Trabajo2_Patrón)))+1,1)=_xlfn.SINGLE(Trabajo2_Turno3_Código),3,""))))</f>
        <v/>
      </c>
      <c r="D26" s="42" t="str">
        <f t="shared" si="10"/>
        <v/>
      </c>
      <c r="E26" s="42" t="str">
        <f t="shared" si="10"/>
        <v/>
      </c>
      <c r="F26" s="42" t="str">
        <f t="shared" si="10"/>
        <v/>
      </c>
      <c r="G26" s="42" t="str">
        <f t="shared" si="10"/>
        <v/>
      </c>
      <c r="H26" s="42">
        <f t="shared" si="10"/>
        <v>1</v>
      </c>
      <c r="I26" s="42">
        <f t="shared" si="10"/>
        <v>1</v>
      </c>
      <c r="J26" s="42" t="str">
        <f t="shared" si="10"/>
        <v/>
      </c>
      <c r="K26" s="42" t="str">
        <f t="shared" si="10"/>
        <v/>
      </c>
      <c r="L26" s="42" t="str">
        <f t="shared" si="10"/>
        <v/>
      </c>
      <c r="M26" s="42">
        <f t="shared" si="10"/>
        <v>2</v>
      </c>
      <c r="N26" s="42">
        <f t="shared" si="10"/>
        <v>2</v>
      </c>
      <c r="O26" s="42" t="str">
        <f t="shared" si="10"/>
        <v/>
      </c>
      <c r="P26" s="42">
        <f t="shared" si="10"/>
        <v>1</v>
      </c>
      <c r="Q26" s="42">
        <f t="shared" si="10"/>
        <v>1</v>
      </c>
      <c r="R26" s="42" t="str">
        <f t="shared" si="10"/>
        <v/>
      </c>
      <c r="S26" s="42" t="str">
        <f t="shared" si="10"/>
        <v/>
      </c>
      <c r="T26" s="42" t="str">
        <f t="shared" si="10"/>
        <v/>
      </c>
      <c r="U26" s="42">
        <f t="shared" si="10"/>
        <v>2</v>
      </c>
      <c r="V26" s="42">
        <f t="shared" si="10"/>
        <v>2</v>
      </c>
      <c r="W26" s="42">
        <f t="shared" si="10"/>
        <v>2</v>
      </c>
      <c r="X26" s="42">
        <f t="shared" si="10"/>
        <v>2</v>
      </c>
      <c r="Y26" s="42" t="str">
        <f t="shared" si="10"/>
        <v/>
      </c>
      <c r="Z26" s="42" t="str">
        <f t="shared" si="10"/>
        <v/>
      </c>
      <c r="AA26" s="42" t="str">
        <f t="shared" si="10"/>
        <v/>
      </c>
      <c r="AB26" s="42" t="str">
        <f t="shared" si="10"/>
        <v/>
      </c>
      <c r="AC26" s="42" t="str">
        <f t="shared" si="10"/>
        <v/>
      </c>
      <c r="AD26" s="42">
        <f t="shared" si="10"/>
        <v>1</v>
      </c>
      <c r="AE26" s="42" t="str">
        <f t="shared" si="10"/>
        <v/>
      </c>
      <c r="AF26" s="42" t="str">
        <f t="shared" si="10"/>
        <v/>
      </c>
      <c r="AG26" s="42">
        <f t="shared" si="10"/>
        <v>2</v>
      </c>
      <c r="AH26" s="42">
        <f t="shared" si="10"/>
        <v>2</v>
      </c>
      <c r="AI26" s="42">
        <f t="shared" si="10"/>
        <v>2</v>
      </c>
      <c r="AJ26" s="42" t="str">
        <f t="shared" si="10"/>
        <v/>
      </c>
      <c r="AK26" s="42" t="str">
        <f t="shared" si="10"/>
        <v/>
      </c>
      <c r="AL26" s="42" t="str">
        <f t="shared" si="10"/>
        <v/>
      </c>
      <c r="AM26" s="42" t="str">
        <f t="shared" si="10"/>
        <v/>
      </c>
    </row>
    <row r="27" spans="2:39" ht="18.899999999999999" customHeight="1" x14ac:dyDescent="0.35">
      <c r="B27" s="11" t="str">
        <f>_xlfn.SINGLE(IF(_xlfn.SINGLE(Trabajo3_Nombre)="","",Trabajo3_Nombre))</f>
        <v>Trabajo 3</v>
      </c>
      <c r="C27" s="42" t="str">
        <f t="shared" ref="C27:AM27" si="11">IF(OR(NOT(ISNUMBER(C23)),C23&lt;_xlfn.SINGLE(Trabajo3_DíaInicio)),"",IF(MID(_xlfn.SINGLE(Trabajo3_Patrón),MOD(C23-_xlfn.SINGLE(Trabajo3_DíaInicio),LEN(_xlfn.SINGLE(Trabajo3_Patrón)))+1,1)=_xlfn.SINGLE(Trabajo3_Turno1_Código),1,IF(MID(_xlfn.SINGLE(Trabajo3_Patrón),MOD(C23-_xlfn.SINGLE(Trabajo3_DíaInicio),LEN(_xlfn.SINGLE(Trabajo3_Patrón)))+1,1)=_xlfn.SINGLE(Trabajo3_Turno2_Código),2,IF(MID(_xlfn.SINGLE(Trabajo3_Patrón),MOD(C23-_xlfn.SINGLE(Trabajo3_DíaInicio),LEN(_xlfn.SINGLE(Trabajo3_Patrón)))+1,1)=_xlfn.SINGLE(Trabajo3_Turno3_Código),3,""))))</f>
        <v/>
      </c>
      <c r="D27" s="42" t="str">
        <f t="shared" si="11"/>
        <v/>
      </c>
      <c r="E27" s="42" t="str">
        <f t="shared" si="11"/>
        <v/>
      </c>
      <c r="F27" s="42" t="str">
        <f t="shared" si="11"/>
        <v/>
      </c>
      <c r="G27" s="42">
        <f t="shared" si="11"/>
        <v>3</v>
      </c>
      <c r="H27" s="42">
        <f t="shared" si="11"/>
        <v>3</v>
      </c>
      <c r="I27" s="42">
        <f t="shared" si="11"/>
        <v>3</v>
      </c>
      <c r="J27" s="42" t="str">
        <f t="shared" si="11"/>
        <v/>
      </c>
      <c r="K27" s="42" t="str">
        <f t="shared" si="11"/>
        <v/>
      </c>
      <c r="L27" s="42" t="str">
        <f t="shared" si="11"/>
        <v/>
      </c>
      <c r="M27" s="42">
        <f t="shared" si="11"/>
        <v>3</v>
      </c>
      <c r="N27" s="42" t="str">
        <f t="shared" si="11"/>
        <v/>
      </c>
      <c r="O27" s="42" t="str">
        <f t="shared" si="11"/>
        <v/>
      </c>
      <c r="P27" s="42" t="str">
        <f t="shared" si="11"/>
        <v/>
      </c>
      <c r="Q27" s="42" t="str">
        <f t="shared" si="11"/>
        <v/>
      </c>
      <c r="R27" s="42" t="str">
        <f t="shared" si="11"/>
        <v/>
      </c>
      <c r="S27" s="42" t="str">
        <f t="shared" si="11"/>
        <v/>
      </c>
      <c r="T27" s="42">
        <f t="shared" si="11"/>
        <v>3</v>
      </c>
      <c r="U27" s="42">
        <f t="shared" si="11"/>
        <v>3</v>
      </c>
      <c r="V27" s="42" t="str">
        <f t="shared" si="11"/>
        <v/>
      </c>
      <c r="W27" s="42" t="str">
        <f t="shared" si="11"/>
        <v/>
      </c>
      <c r="X27" s="42" t="str">
        <f t="shared" si="11"/>
        <v/>
      </c>
      <c r="Y27" s="42">
        <f t="shared" si="11"/>
        <v>3</v>
      </c>
      <c r="Z27" s="42">
        <f t="shared" si="11"/>
        <v>3</v>
      </c>
      <c r="AA27" s="42" t="str">
        <f t="shared" si="11"/>
        <v/>
      </c>
      <c r="AB27" s="42" t="str">
        <f t="shared" si="11"/>
        <v/>
      </c>
      <c r="AC27" s="42" t="str">
        <f t="shared" si="11"/>
        <v/>
      </c>
      <c r="AD27" s="42" t="str">
        <f t="shared" si="11"/>
        <v/>
      </c>
      <c r="AE27" s="42">
        <f t="shared" si="11"/>
        <v>3</v>
      </c>
      <c r="AF27" s="42">
        <f t="shared" si="11"/>
        <v>3</v>
      </c>
      <c r="AG27" s="42" t="str">
        <f t="shared" si="11"/>
        <v/>
      </c>
      <c r="AH27" s="42" t="str">
        <f t="shared" si="11"/>
        <v/>
      </c>
      <c r="AI27" s="42" t="str">
        <f t="shared" si="11"/>
        <v/>
      </c>
      <c r="AJ27" s="42" t="str">
        <f t="shared" si="11"/>
        <v/>
      </c>
      <c r="AK27" s="42" t="str">
        <f t="shared" si="11"/>
        <v/>
      </c>
      <c r="AL27" s="42" t="str">
        <f t="shared" si="11"/>
        <v/>
      </c>
      <c r="AM27" s="42" t="str">
        <f t="shared" si="11"/>
        <v/>
      </c>
    </row>
    <row r="28" spans="2:39" ht="12" customHeight="1" x14ac:dyDescent="0.35"/>
    <row r="29" spans="2:39" s="12" customFormat="1" ht="18.899999999999999" customHeight="1" x14ac:dyDescent="0.35">
      <c r="B29" s="48">
        <f>DATE(AñoCalendario,5,1)</f>
        <v>44317</v>
      </c>
      <c r="C29" s="14" t="str" cm="1">
        <f t="array" ref="C29">IF(DAY(MayDom1)=1,"",IF(AND(YEAR(MayDom1+1)=AñoCalendario,MONTH(MayDom1+1)=5),MayDom1+1,""))</f>
        <v/>
      </c>
      <c r="D29" s="14" t="str" cm="1">
        <f t="array" ref="D29">IF(DAY(MayDom1)=1,"",IF(AND(YEAR(MayDom1+2)=AñoCalendario,MONTH(MayDom1+2)=5),MayDom1+2,""))</f>
        <v/>
      </c>
      <c r="E29" s="14" t="str" cm="1">
        <f t="array" ref="E29">IF(DAY(MayDom1)=1,"",IF(AND(YEAR(MayDom1+3)=AñoCalendario,MONTH(MayDom1+3)=5),MayDom1+3,""))</f>
        <v/>
      </c>
      <c r="F29" s="14" t="str" cm="1">
        <f t="array" ref="F29">IF(DAY(MayDom1)=1,"",IF(AND(YEAR(MayDom1+4)=AñoCalendario,MONTH(MayDom1+4)=5),MayDom1+4,""))</f>
        <v/>
      </c>
      <c r="G29" s="14" t="str" cm="1">
        <f t="array" ref="G29">IF(DAY(MayDom1)=1,"",IF(AND(YEAR(MayDom1+5)=AñoCalendario,MONTH(MayDom1+5)=5),MayDom1+5,""))</f>
        <v/>
      </c>
      <c r="H29" s="14" t="str" cm="1">
        <f t="array" ref="H29">IF(DAY(MayDom1)=1,"",IF(AND(YEAR(MayDom1+6)=AñoCalendario,MONTH(MayDom1+6)=5),MayDom1+6,""))</f>
        <v/>
      </c>
      <c r="I29" s="14" cm="1">
        <f t="array" ref="I29">_xlfn.SINGLE(IF(DAY(MayDom1)=1,IF(AND(YEAR(MayDom1)=AñoCalendario,MONTH(MayDom1)=5),MaySun1,""),IF(AND(YEAR(MayDom1+7)=AñoCalendario,MONTH(MayDom1+7)=5),MayDom1+7,"")))</f>
        <v>44317</v>
      </c>
      <c r="J29" s="14" cm="1">
        <f t="array" ref="J29">IF(DAY(MayDom1)=1,IF(AND(YEAR(MayDom1+1)=AñoCalendario,MONTH(MayDom1+1)=5),MayDom1+1,""),IF(AND(YEAR(MayDom1+8)=AñoCalendario,MONTH(MayDom1+8)=5),MayDom1+8,""))</f>
        <v>44318</v>
      </c>
      <c r="K29" s="14" cm="1">
        <f t="array" ref="K29">IF(DAY(MayDom1)=1,IF(AND(YEAR(MayDom1+2)=AñoCalendario,MONTH(MayDom1+2)=5),MayDom1+2,""),IF(AND(YEAR(MayDom1+9)=AñoCalendario,MONTH(MayDom1+9)=5),MayDom1+9,""))</f>
        <v>44319</v>
      </c>
      <c r="L29" s="14" cm="1">
        <f t="array" ref="L29">IF(DAY(MayDom1)=1,IF(AND(YEAR(MayDom1+3)=AñoCalendario,MONTH(MayDom1+3)=5),MayDom1+3,""),IF(AND(YEAR(MayDom1+10)=AñoCalendario,MONTH(MayDom1+10)=5),MayDom1+10,""))</f>
        <v>44320</v>
      </c>
      <c r="M29" s="14" cm="1">
        <f t="array" ref="M29">IF(DAY(MayDom1)=1,IF(AND(YEAR(MayDom1+4)=AñoCalendario,MONTH(MayDom1+4)=5),MayDom1+4,""),IF(AND(YEAR(MayDom1+11)=AñoCalendario,MONTH(MayDom1+11)=5),MayDom1+11,""))</f>
        <v>44321</v>
      </c>
      <c r="N29" s="14" cm="1">
        <f t="array" ref="N29">IF(DAY(MayDom1)=1,IF(AND(YEAR(MayDom1+5)=AñoCalendario,MONTH(MayDom1+5)=5),MayDom1+5,""),IF(AND(YEAR(MayDom1+12)=AñoCalendario,MONTH(MayDom1+12)=5),MayDom1+12,""))</f>
        <v>44322</v>
      </c>
      <c r="O29" s="14" cm="1">
        <f t="array" ref="O29">IF(DAY(MayDom1)=1,IF(AND(YEAR(MayDom1+6)=AñoCalendario,MONTH(MayDom1+6)=5),MayDom1+6,""),IF(AND(YEAR(MayDom1+13)=AñoCalendario,MONTH(MayDom1+13)=5),MayDom1+13,""))</f>
        <v>44323</v>
      </c>
      <c r="P29" s="14" cm="1">
        <f t="array" ref="P29">IF(DAY(MayDom1)=1,IF(AND(YEAR(MayDom1+7)=AñoCalendario,MONTH(MayDom1+7)=5),MayDom1+7,""),IF(AND(YEAR(MayDom1+14)=AñoCalendario,MONTH(MayDom1+14)=5),MayDom1+14,""))</f>
        <v>44324</v>
      </c>
      <c r="Q29" s="14" cm="1">
        <f t="array" ref="Q29">IF(DAY(MayDom1)=1,IF(AND(YEAR(MayDom1+8)=AñoCalendario,MONTH(MayDom1+8)=5),MayDom1+8,""),IF(AND(YEAR(MayDom1+15)=AñoCalendario,MONTH(MayDom1+15)=5),MayDom1+15,""))</f>
        <v>44325</v>
      </c>
      <c r="R29" s="14" cm="1">
        <f t="array" ref="R29">IF(DAY(MayDom1)=1,IF(AND(YEAR(MayDom1+9)=AñoCalendario,MONTH(MayDom1+9)=5),MayDom1+9,""),IF(AND(YEAR(MayDom1+16)=AñoCalendario,MONTH(MayDom1+16)=5),MayDom1+16,""))</f>
        <v>44326</v>
      </c>
      <c r="S29" s="14" cm="1">
        <f t="array" ref="S29">IF(DAY(MayDom1)=1,IF(AND(YEAR(MayDom1+10)=AñoCalendario,MONTH(MayDom1+10)=5),MayDom1+10,""),IF(AND(YEAR(MayDom1+17)=AñoCalendario,MONTH(MayDom1+17)=5),MayDom1+17,""))</f>
        <v>44327</v>
      </c>
      <c r="T29" s="14" cm="1">
        <f t="array" ref="T29">IF(DAY(MayDom1)=1,IF(AND(YEAR(MayDom1+11)=AñoCalendario,MONTH(MayDom1+11)=5),MayDom1+11,""),IF(AND(YEAR(MayDom1+18)=AñoCalendario,MONTH(MayDom1+18)=5),MayDom1+18,""))</f>
        <v>44328</v>
      </c>
      <c r="U29" s="14" cm="1">
        <f t="array" ref="U29">IF(DAY(MayDom1)=1,IF(AND(YEAR(MayDom1+12)=AñoCalendario,MONTH(MayDom1+12)=5),MayDom1+12,""),IF(AND(YEAR(MayDom1+19)=AñoCalendario,MONTH(MayDom1+19)=5),MayDom1+19,""))</f>
        <v>44329</v>
      </c>
      <c r="V29" s="14" cm="1">
        <f t="array" ref="V29">IF(DAY(MayDom1)=1,IF(AND(YEAR(MayDom1+13)=AñoCalendario,MONTH(MayDom1+13)=5),MayDom1+13,""),IF(AND(YEAR(MayDom1+20)=AñoCalendario,MONTH(MayDom1+20)=5),MayDom1+20,""))</f>
        <v>44330</v>
      </c>
      <c r="W29" s="14" cm="1">
        <f t="array" ref="W29">IF(DAY(MayDom1)=1,IF(AND(YEAR(MayDom1+14)=AñoCalendario,MONTH(MayDom1+14)=5),MayDom1+14,""),IF(AND(YEAR(MayDom1+21)=AñoCalendario,MONTH(MayDom1+21)=5),MayDom1+21,""))</f>
        <v>44331</v>
      </c>
      <c r="X29" s="14" cm="1">
        <f t="array" ref="X29">IF(DAY(MayDom1)=1,IF(AND(YEAR(MayDom1+15)=AñoCalendario,MONTH(MayDom1+15)=5),MayDom1+15,""),IF(AND(YEAR(MayDom1+22)=AñoCalendario,MONTH(MayDom1+22)=5),MayDom1+22,""))</f>
        <v>44332</v>
      </c>
      <c r="Y29" s="14" cm="1">
        <f t="array" ref="Y29">IF(DAY(MayDom1)=1,IF(AND(YEAR(MayDom1+16)=AñoCalendario,MONTH(MayDom1+16)=5),MayDom1+16,""),IF(AND(YEAR(MayDom1+23)=AñoCalendario,MONTH(MayDom1+23)=5),MayDom1+23,""))</f>
        <v>44333</v>
      </c>
      <c r="Z29" s="14" cm="1">
        <f t="array" ref="Z29">IF(DAY(MayDom1)=1,IF(AND(YEAR(MayDom1+17)=AñoCalendario,MONTH(MayDom1+17)=5),MayDom1+17,""),IF(AND(YEAR(MayDom1+24)=AñoCalendario,MONTH(MayDom1+24)=5),MayDom1+24,""))</f>
        <v>44334</v>
      </c>
      <c r="AA29" s="14" cm="1">
        <f t="array" ref="AA29">IF(DAY(MayDom1)=1,IF(AND(YEAR(MayDom1+18)=AñoCalendario,MONTH(MayDom1+18)=5),MayDom1+18,""),IF(AND(YEAR(MayDom1+25)=AñoCalendario,MONTH(MayDom1+25)=5),MayDom1+25,""))</f>
        <v>44335</v>
      </c>
      <c r="AB29" s="14" cm="1">
        <f t="array" ref="AB29">IF(DAY(MayDom1)=1,IF(AND(YEAR(MayDom1+19)=AñoCalendario,MONTH(MayDom1+19)=5),MayDom1+19,""),IF(AND(YEAR(MayDom1+26)=AñoCalendario,MONTH(MayDom1+26)=5),MayDom1+26,""))</f>
        <v>44336</v>
      </c>
      <c r="AC29" s="14" cm="1">
        <f t="array" ref="AC29">IF(DAY(MayDom1)=1,IF(AND(YEAR(MayDom1+20)=AñoCalendario,MONTH(MayDom1+20)=5),MayDom1+20,""),IF(AND(YEAR(MayDom1+27)=AñoCalendario,MONTH(MayDom1+27)=5),MayDom1+27,""))</f>
        <v>44337</v>
      </c>
      <c r="AD29" s="14" cm="1">
        <f t="array" ref="AD29">IF(DAY(MayDom1)=1,IF(AND(YEAR(MayDom1+21)=AñoCalendario,MONTH(MayDom1+21)=5),MayDom1+21,""),IF(AND(YEAR(MayDom1+28)=AñoCalendario,MONTH(MayDom1+28)=5),MayDom1+28,""))</f>
        <v>44338</v>
      </c>
      <c r="AE29" s="14" cm="1">
        <f t="array" ref="AE29">IF(DAY(MayDom1)=1,IF(AND(YEAR(MayDom1+22)=AñoCalendario,MONTH(MayDom1+22)=5),MayDom1+22,""),IF(AND(YEAR(MayDom1+29)=AñoCalendario,MONTH(MayDom1+29)=5),MayDom1+29,""))</f>
        <v>44339</v>
      </c>
      <c r="AF29" s="14" cm="1">
        <f t="array" ref="AF29">IF(DAY(MayDom1)=1,IF(AND(YEAR(MayDom1+23)=AñoCalendario,MONTH(MayDom1+23)=5),MayDom1+23,""),IF(AND(YEAR(MayDom1+30)=AñoCalendario,MONTH(MayDom1+30)=5),MayDom1+30,""))</f>
        <v>44340</v>
      </c>
      <c r="AG29" s="14" cm="1">
        <f t="array" ref="AG29">IF(DAY(MayDom1)=1,IF(AND(YEAR(MayDom1+24)=AñoCalendario,MONTH(MayDom1+24)=5),MayDom1+24,""),IF(AND(YEAR(MayDom1+31)=AñoCalendario,MONTH(MayDom1+31)=5),MayDom1+31,""))</f>
        <v>44341</v>
      </c>
      <c r="AH29" s="14" cm="1">
        <f t="array" ref="AH29">IF(DAY(MayDom1)=1,IF(AND(YEAR(MayDom1+25)=AñoCalendario,MONTH(MayDom1+25)=5),MayDom1+25,""),IF(AND(YEAR(MayDom1+32)=AñoCalendario,MONTH(MayDom1+32)=5),MayDom1+32,""))</f>
        <v>44342</v>
      </c>
      <c r="AI29" s="14" cm="1">
        <f t="array" ref="AI29">IF(DAY(MayDom1)=1,IF(AND(YEAR(MayDom1+26)=AñoCalendario,MONTH(MayDom1+26)=5),MayDom1+26,""),IF(AND(YEAR(MayDom1+33)=AñoCalendario,MONTH(MayDom1+33)=5),MayDom1+33,""))</f>
        <v>44343</v>
      </c>
      <c r="AJ29" s="14" cm="1">
        <f t="array" ref="AJ29">IF(DAY(MayDom1)=1,IF(AND(YEAR(MayDom1+27)=AñoCalendario,MONTH(MayDom1+27)=5),MayDom1+27,""),IF(AND(YEAR(MayDom1+34)=AñoCalendario,MONTH(MayDom1+34)=5),MayDom1+34,""))</f>
        <v>44344</v>
      </c>
      <c r="AK29" s="14" cm="1">
        <f t="array" ref="AK29">IF(DAY(MayDom1)=1,IF(AND(YEAR(MayDom1+28)=AñoCalendario,MONTH(MayDom1+28)=5),MayDom1+28,""),IF(AND(YEAR(MayDom1+35)=AñoCalendario,MONTH(MayDom1+35)=5),MayDom1+35,""))</f>
        <v>44345</v>
      </c>
      <c r="AL29" s="14" cm="1">
        <f t="array" ref="AL29">IF(DAY(MayDom1)=1,IF(AND(YEAR(MayDom1+29)=AñoCalendario,MONTH(MayDom1+29)=5),MayDom1+29,""),IF(AND(YEAR(MayDom1+36)=AñoCalendario,MONTH(MayDom1+36)=5),MayDom1+36,""))</f>
        <v>44346</v>
      </c>
      <c r="AM29" s="15" cm="1">
        <f t="array" ref="AM29">IF(DAY(MayDom1)=1,IF(AND(YEAR(MayDom1+30)=AñoCalendario,MONTH(MayDom1+30)=5),MayDom1+30,""),IF(AND(YEAR(MayDom1+37)=AñoCalendario,MONTH(MayDom1+37)=5),MayDom1+37,""))</f>
        <v>44347</v>
      </c>
    </row>
    <row r="30" spans="2:39" s="12" customFormat="1" ht="18.899999999999999" customHeight="1" x14ac:dyDescent="0.35">
      <c r="B30" s="49"/>
      <c r="C30" s="13" t="s">
        <v>0</v>
      </c>
      <c r="D30" s="13" t="s">
        <v>1</v>
      </c>
      <c r="E30" s="13" t="s">
        <v>2</v>
      </c>
      <c r="F30" s="13" t="s">
        <v>3</v>
      </c>
      <c r="G30" s="13" t="s">
        <v>4</v>
      </c>
      <c r="H30" s="13" t="s">
        <v>5</v>
      </c>
      <c r="I30" s="13" t="s">
        <v>6</v>
      </c>
      <c r="J30" s="13" t="s">
        <v>0</v>
      </c>
      <c r="K30" s="13" t="s">
        <v>1</v>
      </c>
      <c r="L30" s="13" t="s">
        <v>2</v>
      </c>
      <c r="M30" s="13" t="s">
        <v>3</v>
      </c>
      <c r="N30" s="13" t="s">
        <v>4</v>
      </c>
      <c r="O30" s="13" t="s">
        <v>5</v>
      </c>
      <c r="P30" s="13" t="s">
        <v>6</v>
      </c>
      <c r="Q30" s="13" t="s">
        <v>0</v>
      </c>
      <c r="R30" s="13" t="s">
        <v>1</v>
      </c>
      <c r="S30" s="13" t="s">
        <v>2</v>
      </c>
      <c r="T30" s="13" t="s">
        <v>3</v>
      </c>
      <c r="U30" s="13" t="s">
        <v>4</v>
      </c>
      <c r="V30" s="13" t="s">
        <v>5</v>
      </c>
      <c r="W30" s="13" t="s">
        <v>6</v>
      </c>
      <c r="X30" s="13" t="s">
        <v>0</v>
      </c>
      <c r="Y30" s="13" t="s">
        <v>1</v>
      </c>
      <c r="Z30" s="13" t="s">
        <v>2</v>
      </c>
      <c r="AA30" s="13" t="s">
        <v>3</v>
      </c>
      <c r="AB30" s="13" t="s">
        <v>4</v>
      </c>
      <c r="AC30" s="13" t="s">
        <v>5</v>
      </c>
      <c r="AD30" s="13" t="s">
        <v>6</v>
      </c>
      <c r="AE30" s="13" t="s">
        <v>0</v>
      </c>
      <c r="AF30" s="13" t="s">
        <v>1</v>
      </c>
      <c r="AG30" s="13" t="s">
        <v>2</v>
      </c>
      <c r="AH30" s="13" t="s">
        <v>3</v>
      </c>
      <c r="AI30" s="13" t="s">
        <v>4</v>
      </c>
      <c r="AJ30" s="13" t="s">
        <v>5</v>
      </c>
      <c r="AK30" s="13" t="s">
        <v>6</v>
      </c>
      <c r="AL30" s="13" t="s">
        <v>0</v>
      </c>
      <c r="AM30" s="16" t="s">
        <v>1</v>
      </c>
    </row>
    <row r="31" spans="2:39" ht="18.899999999999999" customHeight="1" x14ac:dyDescent="0.35">
      <c r="B31" s="10" t="str">
        <f>IF(Trabajo1_Nombre="","",Trabajo1_Nombre)</f>
        <v>Trabajo 1</v>
      </c>
      <c r="C31" s="41" t="str">
        <f t="shared" ref="C31:AM31" si="12">IF(OR(NOT(ISNUMBER(C29)),C29&lt;_xlfn.SINGLE(Trabajo1_DíaInicio)),"",IF(MID(_xlfn.SINGLE(Trabajo1_Patrón),MOD(C29-_xlfn.SINGLE(Trabajo1_DíaInicio),LEN(_xlfn.SINGLE(Trabajo1_Patrón)))+1,1)=_xlfn.SINGLE(Trabajo1_Turno1_Código),1,IF(MID(_xlfn.SINGLE(Trabajo1_Patrón),MOD(C29-_xlfn.SINGLE(Trabajo1_DíaInicio),LEN(_xlfn.SINGLE(Trabajo1_Patrón)))+1,1)=_xlfn.SINGLE(Trabajo1_Turno2_Código),2,IF(MID(_xlfn.SINGLE(Trabajo1_Patrón),MOD(C29-_xlfn.SINGLE(Trabajo1_DíaInicio),LEN(_xlfn.SINGLE(Trabajo1_Patrón)))+1,1)=_xlfn.SINGLE(Trabajo1_Turno3_Código),3,""))))</f>
        <v/>
      </c>
      <c r="D31" s="41" t="str">
        <f t="shared" si="12"/>
        <v/>
      </c>
      <c r="E31" s="41" t="str">
        <f t="shared" si="12"/>
        <v/>
      </c>
      <c r="F31" s="41" t="str">
        <f t="shared" si="12"/>
        <v/>
      </c>
      <c r="G31" s="41" t="str">
        <f t="shared" si="12"/>
        <v/>
      </c>
      <c r="H31" s="41" t="str">
        <f t="shared" si="12"/>
        <v/>
      </c>
      <c r="I31" s="41">
        <f t="shared" si="12"/>
        <v>2</v>
      </c>
      <c r="J31" s="41" t="str">
        <f t="shared" si="12"/>
        <v/>
      </c>
      <c r="K31" s="41" t="str">
        <f t="shared" si="12"/>
        <v/>
      </c>
      <c r="L31" s="41" t="str">
        <f t="shared" si="12"/>
        <v/>
      </c>
      <c r="M31" s="41">
        <f t="shared" si="12"/>
        <v>1</v>
      </c>
      <c r="N31" s="41">
        <f t="shared" si="12"/>
        <v>1</v>
      </c>
      <c r="O31" s="41">
        <f t="shared" si="12"/>
        <v>1</v>
      </c>
      <c r="P31" s="41">
        <f t="shared" si="12"/>
        <v>1</v>
      </c>
      <c r="Q31" s="41" t="str">
        <f t="shared" si="12"/>
        <v/>
      </c>
      <c r="R31" s="41" t="str">
        <f t="shared" si="12"/>
        <v/>
      </c>
      <c r="S31" s="41">
        <f t="shared" si="12"/>
        <v>2</v>
      </c>
      <c r="T31" s="41">
        <f t="shared" si="12"/>
        <v>2</v>
      </c>
      <c r="U31" s="41">
        <f t="shared" si="12"/>
        <v>2</v>
      </c>
      <c r="V31" s="41">
        <f t="shared" si="12"/>
        <v>2</v>
      </c>
      <c r="W31" s="41" t="str">
        <f t="shared" si="12"/>
        <v/>
      </c>
      <c r="X31" s="41" t="str">
        <f t="shared" si="12"/>
        <v/>
      </c>
      <c r="Y31" s="41">
        <f t="shared" si="12"/>
        <v>1</v>
      </c>
      <c r="Z31" s="41">
        <f t="shared" si="12"/>
        <v>1</v>
      </c>
      <c r="AA31" s="41">
        <f t="shared" si="12"/>
        <v>1</v>
      </c>
      <c r="AB31" s="41" t="str">
        <f t="shared" si="12"/>
        <v/>
      </c>
      <c r="AC31" s="41">
        <f t="shared" si="12"/>
        <v>2</v>
      </c>
      <c r="AD31" s="41">
        <f t="shared" si="12"/>
        <v>2</v>
      </c>
      <c r="AE31" s="41">
        <f t="shared" si="12"/>
        <v>2</v>
      </c>
      <c r="AF31" s="41" t="str">
        <f t="shared" si="12"/>
        <v/>
      </c>
      <c r="AG31" s="41" t="str">
        <f t="shared" si="12"/>
        <v/>
      </c>
      <c r="AH31" s="41" t="str">
        <f t="shared" si="12"/>
        <v/>
      </c>
      <c r="AI31" s="41">
        <f t="shared" si="12"/>
        <v>1</v>
      </c>
      <c r="AJ31" s="41">
        <f t="shared" si="12"/>
        <v>1</v>
      </c>
      <c r="AK31" s="41" t="str">
        <f t="shared" si="12"/>
        <v/>
      </c>
      <c r="AL31" s="41">
        <f t="shared" si="12"/>
        <v>2</v>
      </c>
      <c r="AM31" s="41">
        <f t="shared" si="12"/>
        <v>2</v>
      </c>
    </row>
    <row r="32" spans="2:39" ht="18.899999999999999" customHeight="1" x14ac:dyDescent="0.35">
      <c r="B32" s="11" t="str">
        <f>IF(Trabajo2_Nombre="","",Trabajo2_Nombre)</f>
        <v>Trabajo 2</v>
      </c>
      <c r="C32" s="42" t="str">
        <f t="shared" ref="C32:AM32" si="13">IF(OR(NOT(ISNUMBER(C29)),C29&lt;_xlfn.SINGLE(Trabajo2_DíaInicio)),"",IF(MID(_xlfn.SINGLE(Trabajo2_Patrón),MOD(C29-_xlfn.SINGLE(Trabajo2_DíaInicio),LEN(_xlfn.SINGLE(Trabajo2_Patrón)))+1,1)=_xlfn.SINGLE(Trabajo2_Turno1_Código),1,IF(MID(_xlfn.SINGLE(Trabajo2_Patrón),MOD(C29-_xlfn.SINGLE(Trabajo2_DíaInicio),LEN(_xlfn.SINGLE(Trabajo2_Patrón)))+1,1)=_xlfn.SINGLE(Trabajo2_Turno2_Código),2,IF(MID(_xlfn.SINGLE(Trabajo2_Patrón),MOD(C29-_xlfn.SINGLE(Trabajo2_DíaInicio),LEN(_xlfn.SINGLE(Trabajo2_Patrón)))+1,1)=_xlfn.SINGLE(Trabajo2_Turno3_Código),3,""))))</f>
        <v/>
      </c>
      <c r="D32" s="42" t="str">
        <f t="shared" si="13"/>
        <v/>
      </c>
      <c r="E32" s="42" t="str">
        <f t="shared" si="13"/>
        <v/>
      </c>
      <c r="F32" s="42" t="str">
        <f t="shared" si="13"/>
        <v/>
      </c>
      <c r="G32" s="42" t="str">
        <f t="shared" si="13"/>
        <v/>
      </c>
      <c r="H32" s="42" t="str">
        <f t="shared" si="13"/>
        <v/>
      </c>
      <c r="I32" s="42" t="str">
        <f t="shared" si="13"/>
        <v/>
      </c>
      <c r="J32" s="42">
        <f t="shared" si="13"/>
        <v>1</v>
      </c>
      <c r="K32" s="42">
        <f t="shared" si="13"/>
        <v>1</v>
      </c>
      <c r="L32" s="42" t="str">
        <f t="shared" si="13"/>
        <v/>
      </c>
      <c r="M32" s="42" t="str">
        <f t="shared" si="13"/>
        <v/>
      </c>
      <c r="N32" s="42" t="str">
        <f t="shared" si="13"/>
        <v/>
      </c>
      <c r="O32" s="42">
        <f t="shared" si="13"/>
        <v>2</v>
      </c>
      <c r="P32" s="42">
        <f t="shared" si="13"/>
        <v>2</v>
      </c>
      <c r="Q32" s="42" t="str">
        <f t="shared" si="13"/>
        <v/>
      </c>
      <c r="R32" s="42">
        <f t="shared" si="13"/>
        <v>1</v>
      </c>
      <c r="S32" s="42">
        <f t="shared" si="13"/>
        <v>1</v>
      </c>
      <c r="T32" s="42" t="str">
        <f t="shared" si="13"/>
        <v/>
      </c>
      <c r="U32" s="42" t="str">
        <f t="shared" si="13"/>
        <v/>
      </c>
      <c r="V32" s="42" t="str">
        <f t="shared" si="13"/>
        <v/>
      </c>
      <c r="W32" s="42">
        <f t="shared" si="13"/>
        <v>2</v>
      </c>
      <c r="X32" s="42">
        <f t="shared" si="13"/>
        <v>2</v>
      </c>
      <c r="Y32" s="42">
        <f t="shared" si="13"/>
        <v>2</v>
      </c>
      <c r="Z32" s="42">
        <f t="shared" si="13"/>
        <v>2</v>
      </c>
      <c r="AA32" s="42" t="str">
        <f t="shared" si="13"/>
        <v/>
      </c>
      <c r="AB32" s="42" t="str">
        <f t="shared" si="13"/>
        <v/>
      </c>
      <c r="AC32" s="42" t="str">
        <f t="shared" si="13"/>
        <v/>
      </c>
      <c r="AD32" s="42" t="str">
        <f t="shared" si="13"/>
        <v/>
      </c>
      <c r="AE32" s="42" t="str">
        <f t="shared" si="13"/>
        <v/>
      </c>
      <c r="AF32" s="42">
        <f t="shared" si="13"/>
        <v>1</v>
      </c>
      <c r="AG32" s="42" t="str">
        <f t="shared" si="13"/>
        <v/>
      </c>
      <c r="AH32" s="42" t="str">
        <f t="shared" si="13"/>
        <v/>
      </c>
      <c r="AI32" s="42">
        <f t="shared" si="13"/>
        <v>2</v>
      </c>
      <c r="AJ32" s="42">
        <f t="shared" si="13"/>
        <v>2</v>
      </c>
      <c r="AK32" s="42">
        <f t="shared" si="13"/>
        <v>2</v>
      </c>
      <c r="AL32" s="42" t="str">
        <f t="shared" si="13"/>
        <v/>
      </c>
      <c r="AM32" s="42" t="str">
        <f t="shared" si="13"/>
        <v/>
      </c>
    </row>
    <row r="33" spans="2:39" ht="18.899999999999999" customHeight="1" x14ac:dyDescent="0.35">
      <c r="B33" s="11" t="str">
        <f>_xlfn.SINGLE(IF(_xlfn.SINGLE(Trabajo3_Nombre)="","",Trabajo3_Nombre))</f>
        <v>Trabajo 3</v>
      </c>
      <c r="C33" s="42" t="str">
        <f t="shared" ref="C33:AM33" si="14">IF(OR(NOT(ISNUMBER(C29)),C29&lt;_xlfn.SINGLE(Trabajo3_DíaInicio)),"",IF(MID(_xlfn.SINGLE(Trabajo3_Patrón),MOD(C29-_xlfn.SINGLE(Trabajo3_DíaInicio),LEN(_xlfn.SINGLE(Trabajo3_Patrón)))+1,1)=_xlfn.SINGLE(Trabajo3_Turno1_Código),1,IF(MID(_xlfn.SINGLE(Trabajo3_Patrón),MOD(C29-_xlfn.SINGLE(Trabajo3_DíaInicio),LEN(_xlfn.SINGLE(Trabajo3_Patrón)))+1,1)=_xlfn.SINGLE(Trabajo3_Turno2_Código),2,IF(MID(_xlfn.SINGLE(Trabajo3_Patrón),MOD(C29-_xlfn.SINGLE(Trabajo3_DíaInicio),LEN(_xlfn.SINGLE(Trabajo3_Patrón)))+1,1)=_xlfn.SINGLE(Trabajo3_Turno3_Código),3,""))))</f>
        <v/>
      </c>
      <c r="D33" s="42" t="str">
        <f t="shared" si="14"/>
        <v/>
      </c>
      <c r="E33" s="42" t="str">
        <f t="shared" si="14"/>
        <v/>
      </c>
      <c r="F33" s="42" t="str">
        <f t="shared" si="14"/>
        <v/>
      </c>
      <c r="G33" s="42" t="str">
        <f t="shared" si="14"/>
        <v/>
      </c>
      <c r="H33" s="42" t="str">
        <f t="shared" si="14"/>
        <v/>
      </c>
      <c r="I33" s="42">
        <f t="shared" si="14"/>
        <v>3</v>
      </c>
      <c r="J33" s="42">
        <f t="shared" si="14"/>
        <v>3</v>
      </c>
      <c r="K33" s="42">
        <f t="shared" si="14"/>
        <v>3</v>
      </c>
      <c r="L33" s="42" t="str">
        <f t="shared" si="14"/>
        <v/>
      </c>
      <c r="M33" s="42" t="str">
        <f t="shared" si="14"/>
        <v/>
      </c>
      <c r="N33" s="42" t="str">
        <f t="shared" si="14"/>
        <v/>
      </c>
      <c r="O33" s="42">
        <f t="shared" si="14"/>
        <v>3</v>
      </c>
      <c r="P33" s="42" t="str">
        <f t="shared" si="14"/>
        <v/>
      </c>
      <c r="Q33" s="42" t="str">
        <f t="shared" si="14"/>
        <v/>
      </c>
      <c r="R33" s="42" t="str">
        <f t="shared" si="14"/>
        <v/>
      </c>
      <c r="S33" s="42" t="str">
        <f t="shared" si="14"/>
        <v/>
      </c>
      <c r="T33" s="42" t="str">
        <f t="shared" si="14"/>
        <v/>
      </c>
      <c r="U33" s="42" t="str">
        <f t="shared" si="14"/>
        <v/>
      </c>
      <c r="V33" s="42">
        <f t="shared" si="14"/>
        <v>3</v>
      </c>
      <c r="W33" s="42">
        <f t="shared" si="14"/>
        <v>3</v>
      </c>
      <c r="X33" s="42" t="str">
        <f t="shared" si="14"/>
        <v/>
      </c>
      <c r="Y33" s="42" t="str">
        <f t="shared" si="14"/>
        <v/>
      </c>
      <c r="Z33" s="42" t="str">
        <f t="shared" si="14"/>
        <v/>
      </c>
      <c r="AA33" s="42">
        <f t="shared" si="14"/>
        <v>3</v>
      </c>
      <c r="AB33" s="42">
        <f t="shared" si="14"/>
        <v>3</v>
      </c>
      <c r="AC33" s="42" t="str">
        <f t="shared" si="14"/>
        <v/>
      </c>
      <c r="AD33" s="42" t="str">
        <f t="shared" si="14"/>
        <v/>
      </c>
      <c r="AE33" s="42" t="str">
        <f t="shared" si="14"/>
        <v/>
      </c>
      <c r="AF33" s="42" t="str">
        <f t="shared" si="14"/>
        <v/>
      </c>
      <c r="AG33" s="42">
        <f t="shared" si="14"/>
        <v>3</v>
      </c>
      <c r="AH33" s="42">
        <f t="shared" si="14"/>
        <v>3</v>
      </c>
      <c r="AI33" s="42" t="str">
        <f t="shared" si="14"/>
        <v/>
      </c>
      <c r="AJ33" s="42" t="str">
        <f t="shared" si="14"/>
        <v/>
      </c>
      <c r="AK33" s="42" t="str">
        <f t="shared" si="14"/>
        <v/>
      </c>
      <c r="AL33" s="42" t="str">
        <f t="shared" si="14"/>
        <v/>
      </c>
      <c r="AM33" s="42">
        <f t="shared" si="14"/>
        <v>3</v>
      </c>
    </row>
    <row r="34" spans="2:39" ht="12" customHeight="1" x14ac:dyDescent="0.35"/>
    <row r="35" spans="2:39" s="12" customFormat="1" ht="18.899999999999999" customHeight="1" x14ac:dyDescent="0.35">
      <c r="B35" s="48">
        <f>DATE(AñoCalendario,6,1)</f>
        <v>44348</v>
      </c>
      <c r="C35" s="14" t="str" cm="1">
        <f t="array" ref="C35">IF(DAY(JunDom1)=1,"",IF(AND(YEAR(JunDom1+1)=AñoCalendario,MONTH(JunDom1+1)=6),JunDom1+1,""))</f>
        <v/>
      </c>
      <c r="D35" s="14" t="str" cm="1">
        <f t="array" ref="D35">IF(DAY(JunDom1)=1,"",IF(AND(YEAR(JunDom1+2)=AñoCalendario,MONTH(JunDom1+2)=6),JunDom1+2,""))</f>
        <v/>
      </c>
      <c r="E35" s="14" cm="1">
        <f t="array" ref="E35">IF(DAY(JunDom1)=1,"",IF(AND(YEAR(JunDom1+3)=AñoCalendario,MONTH(JunDom1+3)=6),JunDom1+3,""))</f>
        <v>44348</v>
      </c>
      <c r="F35" s="14" cm="1">
        <f t="array" ref="F35">IF(DAY(JunDom1)=1,"",IF(AND(YEAR(JunDom1+4)=AñoCalendario,MONTH(JunDom1+4)=6),JunDom1+4,""))</f>
        <v>44349</v>
      </c>
      <c r="G35" s="14" cm="1">
        <f t="array" ref="G35">IF(DAY(JunDom1)=1,"",IF(AND(YEAR(JunDom1+5)=AñoCalendario,MONTH(JunDom1+5)=6),JunDom1+5,""))</f>
        <v>44350</v>
      </c>
      <c r="H35" s="14" cm="1">
        <f t="array" ref="H35">IF(DAY(JunDom1)=1,"",IF(AND(YEAR(JunDom1+6)=AñoCalendario,MONTH(JunDom1+6)=6),JunDom1+6,""))</f>
        <v>44351</v>
      </c>
      <c r="I35" s="14" cm="1">
        <f t="array" ref="I35">_xlfn.SINGLE(IF(DAY(JunDom1)=1,IF(AND(YEAR(JunDom1)=AñoCalendario,MONTH(JunDom1)=6),JunSun1,""),IF(AND(YEAR(JunDom1+7)=AñoCalendario,MONTH(JunDom1+7)=6),JunDom1+7,"")))</f>
        <v>44352</v>
      </c>
      <c r="J35" s="14" cm="1">
        <f t="array" ref="J35">IF(DAY(JunDom1)=1,IF(AND(YEAR(JunDom1+1)=AñoCalendario,MONTH(JunDom1+1)=6),JunDom1+1,""),IF(AND(YEAR(JunDom1+8)=AñoCalendario,MONTH(JunDom1+8)=6),JunDom1+8,""))</f>
        <v>44353</v>
      </c>
      <c r="K35" s="14" cm="1">
        <f t="array" ref="K35">IF(DAY(JunDom1)=1,IF(AND(YEAR(JunDom1+2)=AñoCalendario,MONTH(JunDom1+2)=6),JunDom1+2,""),IF(AND(YEAR(JunDom1+9)=AñoCalendario,MONTH(JunDom1+9)=6),JunDom1+9,""))</f>
        <v>44354</v>
      </c>
      <c r="L35" s="14" cm="1">
        <f t="array" ref="L35">IF(DAY(JunDom1)=1,IF(AND(YEAR(JunDom1+3)=AñoCalendario,MONTH(JunDom1+3)=6),JunDom1+3,""),IF(AND(YEAR(JunDom1+10)=AñoCalendario,MONTH(JunDom1+10)=6),JunDom1+10,""))</f>
        <v>44355</v>
      </c>
      <c r="M35" s="14" cm="1">
        <f t="array" ref="M35">IF(DAY(JunDom1)=1,IF(AND(YEAR(JunDom1+4)=AñoCalendario,MONTH(JunDom1+4)=6),JunDom1+4,""),IF(AND(YEAR(JunDom1+11)=AñoCalendario,MONTH(JunDom1+11)=6),JunDom1+11,""))</f>
        <v>44356</v>
      </c>
      <c r="N35" s="14" cm="1">
        <f t="array" ref="N35">IF(DAY(JunDom1)=1,IF(AND(YEAR(JunDom1+5)=AñoCalendario,MONTH(JunDom1+5)=6),JunDom1+5,""),IF(AND(YEAR(JunDom1+12)=AñoCalendario,MONTH(JunDom1+12)=6),JunDom1+12,""))</f>
        <v>44357</v>
      </c>
      <c r="O35" s="14" cm="1">
        <f t="array" ref="O35">IF(DAY(JunDom1)=1,IF(AND(YEAR(JunDom1+6)=AñoCalendario,MONTH(JunDom1+6)=6),JunDom1+6,""),IF(AND(YEAR(JunDom1+13)=AñoCalendario,MONTH(JunDom1+13)=6),JunDom1+13,""))</f>
        <v>44358</v>
      </c>
      <c r="P35" s="14" cm="1">
        <f t="array" ref="P35">IF(DAY(JunDom1)=1,IF(AND(YEAR(JunDom1+7)=AñoCalendario,MONTH(JunDom1+7)=6),JunDom1+7,""),IF(AND(YEAR(JunDom1+14)=AñoCalendario,MONTH(JunDom1+14)=6),JunDom1+14,""))</f>
        <v>44359</v>
      </c>
      <c r="Q35" s="14" cm="1">
        <f t="array" ref="Q35">IF(DAY(JunDom1)=1,IF(AND(YEAR(JunDom1+8)=AñoCalendario,MONTH(JunDom1+8)=6),JunDom1+8,""),IF(AND(YEAR(JunDom1+15)=AñoCalendario,MONTH(JunDom1+15)=6),JunDom1+15,""))</f>
        <v>44360</v>
      </c>
      <c r="R35" s="14" cm="1">
        <f t="array" ref="R35">IF(DAY(JunDom1)=1,IF(AND(YEAR(JunDom1+9)=AñoCalendario,MONTH(JunDom1+9)=6),JunDom1+9,""),IF(AND(YEAR(JunDom1+16)=AñoCalendario,MONTH(JunDom1+16)=6),JunDom1+16,""))</f>
        <v>44361</v>
      </c>
      <c r="S35" s="14" cm="1">
        <f t="array" ref="S35">IF(DAY(JunDom1)=1,IF(AND(YEAR(JunDom1+10)=AñoCalendario,MONTH(JunDom1+10)=6),JunDom1+10,""),IF(AND(YEAR(JunDom1+17)=AñoCalendario,MONTH(JunDom1+17)=6),JunDom1+17,""))</f>
        <v>44362</v>
      </c>
      <c r="T35" s="14" cm="1">
        <f t="array" ref="T35">IF(DAY(JunDom1)=1,IF(AND(YEAR(JunDom1+11)=AñoCalendario,MONTH(JunDom1+11)=6),JunDom1+11,""),IF(AND(YEAR(JunDom1+18)=AñoCalendario,MONTH(JunDom1+18)=6),JunDom1+18,""))</f>
        <v>44363</v>
      </c>
      <c r="U35" s="14" cm="1">
        <f t="array" ref="U35">IF(DAY(JunDom1)=1,IF(AND(YEAR(JunDom1+12)=AñoCalendario,MONTH(JunDom1+12)=6),JunDom1+12,""),IF(AND(YEAR(JunDom1+19)=AñoCalendario,MONTH(JunDom1+19)=6),JunDom1+19,""))</f>
        <v>44364</v>
      </c>
      <c r="V35" s="14" cm="1">
        <f t="array" ref="V35">IF(DAY(JunDom1)=1,IF(AND(YEAR(JunDom1+13)=AñoCalendario,MONTH(JunDom1+13)=6),JunDom1+13,""),IF(AND(YEAR(JunDom1+20)=AñoCalendario,MONTH(JunDom1+20)=6),JunDom1+20,""))</f>
        <v>44365</v>
      </c>
      <c r="W35" s="14" cm="1">
        <f t="array" ref="W35">IF(DAY(JunDom1)=1,IF(AND(YEAR(JunDom1+14)=AñoCalendario,MONTH(JunDom1+14)=6),JunDom1+14,""),IF(AND(YEAR(JunDom1+21)=AñoCalendario,MONTH(JunDom1+21)=6),JunDom1+21,""))</f>
        <v>44366</v>
      </c>
      <c r="X35" s="14" cm="1">
        <f t="array" ref="X35">IF(DAY(JunDom1)=1,IF(AND(YEAR(JunDom1+15)=AñoCalendario,MONTH(JunDom1+15)=6),JunDom1+15,""),IF(AND(YEAR(JunDom1+22)=AñoCalendario,MONTH(JunDom1+22)=6),JunDom1+22,""))</f>
        <v>44367</v>
      </c>
      <c r="Y35" s="14" cm="1">
        <f t="array" ref="Y35">IF(DAY(JunDom1)=1,IF(AND(YEAR(JunDom1+16)=AñoCalendario,MONTH(JunDom1+16)=6),JunDom1+16,""),IF(AND(YEAR(JunDom1+23)=AñoCalendario,MONTH(JunDom1+23)=6),JunDom1+23,""))</f>
        <v>44368</v>
      </c>
      <c r="Z35" s="14" cm="1">
        <f t="array" ref="Z35">IF(DAY(JunDom1)=1,IF(AND(YEAR(JunDom1+17)=AñoCalendario,MONTH(JunDom1+17)=6),JunDom1+17,""),IF(AND(YEAR(JunDom1+24)=AñoCalendario,MONTH(JunDom1+24)=6),JunDom1+24,""))</f>
        <v>44369</v>
      </c>
      <c r="AA35" s="14" cm="1">
        <f t="array" ref="AA35">IF(DAY(JunDom1)=1,IF(AND(YEAR(JunDom1+18)=AñoCalendario,MONTH(JunDom1+18)=6),JunDom1+18,""),IF(AND(YEAR(JunDom1+25)=AñoCalendario,MONTH(JunDom1+25)=6),JunDom1+25,""))</f>
        <v>44370</v>
      </c>
      <c r="AB35" s="14" cm="1">
        <f t="array" ref="AB35">IF(DAY(JunDom1)=1,IF(AND(YEAR(JunDom1+19)=AñoCalendario,MONTH(JunDom1+19)=6),JunDom1+19,""),IF(AND(YEAR(JunDom1+26)=AñoCalendario,MONTH(JunDom1+26)=6),JunDom1+26,""))</f>
        <v>44371</v>
      </c>
      <c r="AC35" s="14" cm="1">
        <f t="array" ref="AC35">IF(DAY(JunDom1)=1,IF(AND(YEAR(JunDom1+20)=AñoCalendario,MONTH(JunDom1+20)=6),JunDom1+20,""),IF(AND(YEAR(JunDom1+27)=AñoCalendario,MONTH(JunDom1+27)=6),JunDom1+27,""))</f>
        <v>44372</v>
      </c>
      <c r="AD35" s="14" cm="1">
        <f t="array" ref="AD35">IF(DAY(JunDom1)=1,IF(AND(YEAR(JunDom1+21)=AñoCalendario,MONTH(JunDom1+21)=6),JunDom1+21,""),IF(AND(YEAR(JunDom1+28)=AñoCalendario,MONTH(JunDom1+28)=6),JunDom1+28,""))</f>
        <v>44373</v>
      </c>
      <c r="AE35" s="14" cm="1">
        <f t="array" ref="AE35">IF(DAY(JunDom1)=1,IF(AND(YEAR(JunDom1+22)=AñoCalendario,MONTH(JunDom1+22)=6),JunDom1+22,""),IF(AND(YEAR(JunDom1+29)=AñoCalendario,MONTH(JunDom1+29)=6),JunDom1+29,""))</f>
        <v>44374</v>
      </c>
      <c r="AF35" s="14" cm="1">
        <f t="array" ref="AF35">IF(DAY(JunDom1)=1,IF(AND(YEAR(JunDom1+23)=AñoCalendario,MONTH(JunDom1+23)=6),JunDom1+23,""),IF(AND(YEAR(JunDom1+30)=AñoCalendario,MONTH(JunDom1+30)=6),JunDom1+30,""))</f>
        <v>44375</v>
      </c>
      <c r="AG35" s="14" cm="1">
        <f t="array" ref="AG35">IF(DAY(JunDom1)=1,IF(AND(YEAR(JunDom1+24)=AñoCalendario,MONTH(JunDom1+24)=6),JunDom1+24,""),IF(AND(YEAR(JunDom1+31)=AñoCalendario,MONTH(JunDom1+31)=6),JunDom1+31,""))</f>
        <v>44376</v>
      </c>
      <c r="AH35" s="14" cm="1">
        <f t="array" ref="AH35">IF(DAY(JunDom1)=1,IF(AND(YEAR(JunDom1+25)=AñoCalendario,MONTH(JunDom1+25)=6),JunDom1+25,""),IF(AND(YEAR(JunDom1+32)=AñoCalendario,MONTH(JunDom1+32)=6),JunDom1+32,""))</f>
        <v>44377</v>
      </c>
      <c r="AI35" s="14" t="str" cm="1">
        <f t="array" ref="AI35">IF(DAY(JunDom1)=1,IF(AND(YEAR(JunDom1+26)=AñoCalendario,MONTH(JunDom1+26)=6),JunDom1+26,""),IF(AND(YEAR(JunDom1+33)=AñoCalendario,MONTH(JunDom1+33)=6),JunDom1+33,""))</f>
        <v/>
      </c>
      <c r="AJ35" s="14" t="str" cm="1">
        <f t="array" ref="AJ35">IF(DAY(JunDom1)=1,IF(AND(YEAR(JunDom1+27)=AñoCalendario,MONTH(JunDom1+27)=6),JunDom1+27,""),IF(AND(YEAR(JunDom1+34)=AñoCalendario,MONTH(JunDom1+34)=6),JunDom1+34,""))</f>
        <v/>
      </c>
      <c r="AK35" s="14" t="str" cm="1">
        <f t="array" ref="AK35">IF(DAY(JunDom1)=1,IF(AND(YEAR(JunDom1+28)=AñoCalendario,MONTH(JunDom1+28)=6),JunDom1+28,""),IF(AND(YEAR(JunDom1+35)=AñoCalendario,MONTH(JunDom1+35)=6),JunDom1+35,""))</f>
        <v/>
      </c>
      <c r="AL35" s="14" t="str" cm="1">
        <f t="array" ref="AL35">IF(DAY(JunDom1)=1,IF(AND(YEAR(JunDom1+29)=AñoCalendario,MONTH(JunDom1+29)=6),JunDom1+29,""),IF(AND(YEAR(JunDom1+36)=AñoCalendario,MONTH(JunDom1+36)=6),JunDom1+36,""))</f>
        <v/>
      </c>
      <c r="AM35" s="15" t="str" cm="1">
        <f t="array" ref="AM35">IF(DAY(JunDom1)=1,IF(AND(YEAR(JunDom1+30)=AñoCalendario,MONTH(JunDom1+30)=6),JunDom1+30,""),IF(AND(YEAR(JunDom1+37)=AñoCalendario,MONTH(JunDom1+37)=6),JunDom1+37,""))</f>
        <v/>
      </c>
    </row>
    <row r="36" spans="2:39" s="12" customFormat="1" ht="18.899999999999999" customHeight="1" x14ac:dyDescent="0.35">
      <c r="B36" s="49"/>
      <c r="C36" s="13" t="s">
        <v>0</v>
      </c>
      <c r="D36" s="13" t="s">
        <v>1</v>
      </c>
      <c r="E36" s="13" t="s">
        <v>2</v>
      </c>
      <c r="F36" s="13" t="s">
        <v>3</v>
      </c>
      <c r="G36" s="13" t="s">
        <v>4</v>
      </c>
      <c r="H36" s="13" t="s">
        <v>5</v>
      </c>
      <c r="I36" s="13" t="s">
        <v>6</v>
      </c>
      <c r="J36" s="13" t="s">
        <v>0</v>
      </c>
      <c r="K36" s="13" t="s">
        <v>1</v>
      </c>
      <c r="L36" s="13" t="s">
        <v>2</v>
      </c>
      <c r="M36" s="13" t="s">
        <v>3</v>
      </c>
      <c r="N36" s="13" t="s">
        <v>4</v>
      </c>
      <c r="O36" s="13" t="s">
        <v>5</v>
      </c>
      <c r="P36" s="13" t="s">
        <v>6</v>
      </c>
      <c r="Q36" s="13" t="s">
        <v>0</v>
      </c>
      <c r="R36" s="13" t="s">
        <v>1</v>
      </c>
      <c r="S36" s="13" t="s">
        <v>2</v>
      </c>
      <c r="T36" s="13" t="s">
        <v>3</v>
      </c>
      <c r="U36" s="13" t="s">
        <v>4</v>
      </c>
      <c r="V36" s="13" t="s">
        <v>5</v>
      </c>
      <c r="W36" s="13" t="s">
        <v>6</v>
      </c>
      <c r="X36" s="13" t="s">
        <v>0</v>
      </c>
      <c r="Y36" s="13" t="s">
        <v>1</v>
      </c>
      <c r="Z36" s="13" t="s">
        <v>2</v>
      </c>
      <c r="AA36" s="13" t="s">
        <v>3</v>
      </c>
      <c r="AB36" s="13" t="s">
        <v>4</v>
      </c>
      <c r="AC36" s="13" t="s">
        <v>5</v>
      </c>
      <c r="AD36" s="13" t="s">
        <v>6</v>
      </c>
      <c r="AE36" s="13" t="s">
        <v>0</v>
      </c>
      <c r="AF36" s="13" t="s">
        <v>1</v>
      </c>
      <c r="AG36" s="13" t="s">
        <v>2</v>
      </c>
      <c r="AH36" s="13" t="s">
        <v>3</v>
      </c>
      <c r="AI36" s="13" t="s">
        <v>4</v>
      </c>
      <c r="AJ36" s="13" t="s">
        <v>5</v>
      </c>
      <c r="AK36" s="13" t="s">
        <v>6</v>
      </c>
      <c r="AL36" s="13" t="s">
        <v>0</v>
      </c>
      <c r="AM36" s="16" t="s">
        <v>1</v>
      </c>
    </row>
    <row r="37" spans="2:39" ht="18.899999999999999" customHeight="1" x14ac:dyDescent="0.35">
      <c r="B37" s="10" t="str">
        <f>IF(Trabajo1_Nombre="","",Trabajo1_Nombre)</f>
        <v>Trabajo 1</v>
      </c>
      <c r="C37" s="41" t="str">
        <f t="shared" ref="C37:AM37" si="15">IF(OR(NOT(ISNUMBER(C35)),C35&lt;_xlfn.SINGLE(Trabajo1_DíaInicio)),"",IF(MID(_xlfn.SINGLE(Trabajo1_Patrón),MOD(C35-_xlfn.SINGLE(Trabajo1_DíaInicio),LEN(_xlfn.SINGLE(Trabajo1_Patrón)))+1,1)=_xlfn.SINGLE(Trabajo1_Turno1_Código),1,IF(MID(_xlfn.SINGLE(Trabajo1_Patrón),MOD(C35-_xlfn.SINGLE(Trabajo1_DíaInicio),LEN(_xlfn.SINGLE(Trabajo1_Patrón)))+1,1)=_xlfn.SINGLE(Trabajo1_Turno2_Código),2,IF(MID(_xlfn.SINGLE(Trabajo1_Patrón),MOD(C35-_xlfn.SINGLE(Trabajo1_DíaInicio),LEN(_xlfn.SINGLE(Trabajo1_Patrón)))+1,1)=_xlfn.SINGLE(Trabajo1_Turno3_Código),3,""))))</f>
        <v/>
      </c>
      <c r="D37" s="41" t="str">
        <f t="shared" si="15"/>
        <v/>
      </c>
      <c r="E37" s="41" t="str">
        <f t="shared" si="15"/>
        <v/>
      </c>
      <c r="F37" s="41" t="str">
        <f t="shared" si="15"/>
        <v/>
      </c>
      <c r="G37" s="41" t="str">
        <f t="shared" si="15"/>
        <v/>
      </c>
      <c r="H37" s="41">
        <f t="shared" si="15"/>
        <v>1</v>
      </c>
      <c r="I37" s="41">
        <f t="shared" si="15"/>
        <v>1</v>
      </c>
      <c r="J37" s="41">
        <f t="shared" si="15"/>
        <v>1</v>
      </c>
      <c r="K37" s="41">
        <f t="shared" si="15"/>
        <v>1</v>
      </c>
      <c r="L37" s="41" t="str">
        <f t="shared" si="15"/>
        <v/>
      </c>
      <c r="M37" s="41" t="str">
        <f t="shared" si="15"/>
        <v/>
      </c>
      <c r="N37" s="41">
        <f t="shared" si="15"/>
        <v>2</v>
      </c>
      <c r="O37" s="41">
        <f t="shared" si="15"/>
        <v>2</v>
      </c>
      <c r="P37" s="41">
        <f t="shared" si="15"/>
        <v>2</v>
      </c>
      <c r="Q37" s="41">
        <f t="shared" si="15"/>
        <v>2</v>
      </c>
      <c r="R37" s="41" t="str">
        <f t="shared" si="15"/>
        <v/>
      </c>
      <c r="S37" s="41" t="str">
        <f t="shared" si="15"/>
        <v/>
      </c>
      <c r="T37" s="41">
        <f t="shared" si="15"/>
        <v>1</v>
      </c>
      <c r="U37" s="41">
        <f t="shared" si="15"/>
        <v>1</v>
      </c>
      <c r="V37" s="41">
        <f t="shared" si="15"/>
        <v>1</v>
      </c>
      <c r="W37" s="41" t="str">
        <f t="shared" si="15"/>
        <v/>
      </c>
      <c r="X37" s="41">
        <f t="shared" si="15"/>
        <v>2</v>
      </c>
      <c r="Y37" s="41">
        <f t="shared" si="15"/>
        <v>2</v>
      </c>
      <c r="Z37" s="41">
        <f t="shared" si="15"/>
        <v>2</v>
      </c>
      <c r="AA37" s="41" t="str">
        <f t="shared" si="15"/>
        <v/>
      </c>
      <c r="AB37" s="41" t="str">
        <f t="shared" si="15"/>
        <v/>
      </c>
      <c r="AC37" s="41" t="str">
        <f t="shared" si="15"/>
        <v/>
      </c>
      <c r="AD37" s="41">
        <f t="shared" si="15"/>
        <v>1</v>
      </c>
      <c r="AE37" s="41">
        <f t="shared" si="15"/>
        <v>1</v>
      </c>
      <c r="AF37" s="41" t="str">
        <f t="shared" si="15"/>
        <v/>
      </c>
      <c r="AG37" s="41">
        <f t="shared" si="15"/>
        <v>2</v>
      </c>
      <c r="AH37" s="41">
        <f t="shared" si="15"/>
        <v>2</v>
      </c>
      <c r="AI37" s="41" t="str">
        <f t="shared" si="15"/>
        <v/>
      </c>
      <c r="AJ37" s="41" t="str">
        <f t="shared" si="15"/>
        <v/>
      </c>
      <c r="AK37" s="41" t="str">
        <f t="shared" si="15"/>
        <v/>
      </c>
      <c r="AL37" s="41" t="str">
        <f t="shared" si="15"/>
        <v/>
      </c>
      <c r="AM37" s="41" t="str">
        <f t="shared" si="15"/>
        <v/>
      </c>
    </row>
    <row r="38" spans="2:39" ht="18.899999999999999" customHeight="1" x14ac:dyDescent="0.35">
      <c r="B38" s="11" t="str">
        <f>IF(Trabajo2_Nombre="","",Trabajo2_Nombre)</f>
        <v>Trabajo 2</v>
      </c>
      <c r="C38" s="42" t="str">
        <f t="shared" ref="C38:AM38" si="16">IF(OR(NOT(ISNUMBER(C35)),C35&lt;_xlfn.SINGLE(Trabajo2_DíaInicio)),"",IF(MID(_xlfn.SINGLE(Trabajo2_Patrón),MOD(C35-_xlfn.SINGLE(Trabajo2_DíaInicio),LEN(_xlfn.SINGLE(Trabajo2_Patrón)))+1,1)=_xlfn.SINGLE(Trabajo2_Turno1_Código),1,IF(MID(_xlfn.SINGLE(Trabajo2_Patrón),MOD(C35-_xlfn.SINGLE(Trabajo2_DíaInicio),LEN(_xlfn.SINGLE(Trabajo2_Patrón)))+1,1)=_xlfn.SINGLE(Trabajo2_Turno2_Código),2,IF(MID(_xlfn.SINGLE(Trabajo2_Patrón),MOD(C35-_xlfn.SINGLE(Trabajo2_DíaInicio),LEN(_xlfn.SINGLE(Trabajo2_Patrón)))+1,1)=_xlfn.SINGLE(Trabajo2_Turno3_Código),3,""))))</f>
        <v/>
      </c>
      <c r="D38" s="42" t="str">
        <f t="shared" si="16"/>
        <v/>
      </c>
      <c r="E38" s="42">
        <f t="shared" si="16"/>
        <v>1</v>
      </c>
      <c r="F38" s="42">
        <f t="shared" si="16"/>
        <v>1</v>
      </c>
      <c r="G38" s="42" t="str">
        <f t="shared" si="16"/>
        <v/>
      </c>
      <c r="H38" s="42" t="str">
        <f t="shared" si="16"/>
        <v/>
      </c>
      <c r="I38" s="42" t="str">
        <f t="shared" si="16"/>
        <v/>
      </c>
      <c r="J38" s="42">
        <f t="shared" si="16"/>
        <v>2</v>
      </c>
      <c r="K38" s="42">
        <f t="shared" si="16"/>
        <v>2</v>
      </c>
      <c r="L38" s="42" t="str">
        <f t="shared" si="16"/>
        <v/>
      </c>
      <c r="M38" s="42">
        <f t="shared" si="16"/>
        <v>1</v>
      </c>
      <c r="N38" s="42">
        <f t="shared" si="16"/>
        <v>1</v>
      </c>
      <c r="O38" s="42" t="str">
        <f t="shared" si="16"/>
        <v/>
      </c>
      <c r="P38" s="42" t="str">
        <f t="shared" si="16"/>
        <v/>
      </c>
      <c r="Q38" s="42" t="str">
        <f t="shared" si="16"/>
        <v/>
      </c>
      <c r="R38" s="42">
        <f t="shared" si="16"/>
        <v>2</v>
      </c>
      <c r="S38" s="42">
        <f t="shared" si="16"/>
        <v>2</v>
      </c>
      <c r="T38" s="42">
        <f t="shared" si="16"/>
        <v>2</v>
      </c>
      <c r="U38" s="42">
        <f t="shared" si="16"/>
        <v>2</v>
      </c>
      <c r="V38" s="42" t="str">
        <f t="shared" si="16"/>
        <v/>
      </c>
      <c r="W38" s="42" t="str">
        <f t="shared" si="16"/>
        <v/>
      </c>
      <c r="X38" s="42" t="str">
        <f t="shared" si="16"/>
        <v/>
      </c>
      <c r="Y38" s="42" t="str">
        <f t="shared" si="16"/>
        <v/>
      </c>
      <c r="Z38" s="42" t="str">
        <f t="shared" si="16"/>
        <v/>
      </c>
      <c r="AA38" s="42">
        <f t="shared" si="16"/>
        <v>1</v>
      </c>
      <c r="AB38" s="42" t="str">
        <f t="shared" si="16"/>
        <v/>
      </c>
      <c r="AC38" s="42" t="str">
        <f t="shared" si="16"/>
        <v/>
      </c>
      <c r="AD38" s="42">
        <f t="shared" si="16"/>
        <v>2</v>
      </c>
      <c r="AE38" s="42">
        <f t="shared" si="16"/>
        <v>2</v>
      </c>
      <c r="AF38" s="42">
        <f t="shared" si="16"/>
        <v>2</v>
      </c>
      <c r="AG38" s="42" t="str">
        <f t="shared" si="16"/>
        <v/>
      </c>
      <c r="AH38" s="42" t="str">
        <f t="shared" si="16"/>
        <v/>
      </c>
      <c r="AI38" s="42" t="str">
        <f t="shared" si="16"/>
        <v/>
      </c>
      <c r="AJ38" s="42" t="str">
        <f t="shared" si="16"/>
        <v/>
      </c>
      <c r="AK38" s="42" t="str">
        <f t="shared" si="16"/>
        <v/>
      </c>
      <c r="AL38" s="42" t="str">
        <f t="shared" si="16"/>
        <v/>
      </c>
      <c r="AM38" s="42" t="str">
        <f t="shared" si="16"/>
        <v/>
      </c>
    </row>
    <row r="39" spans="2:39" ht="18.899999999999999" customHeight="1" x14ac:dyDescent="0.35">
      <c r="B39" s="11" t="str">
        <f>_xlfn.SINGLE(IF(_xlfn.SINGLE(Trabajo3_Nombre)="","",Trabajo3_Nombre))</f>
        <v>Trabajo 3</v>
      </c>
      <c r="C39" s="42" t="str">
        <f t="shared" ref="C39:AM39" si="17">IF(OR(NOT(ISNUMBER(C35)),C35&lt;_xlfn.SINGLE(Trabajo3_DíaInicio)),"",IF(MID(_xlfn.SINGLE(Trabajo3_Patrón),MOD(C35-_xlfn.SINGLE(Trabajo3_DíaInicio),LEN(_xlfn.SINGLE(Trabajo3_Patrón)))+1,1)=_xlfn.SINGLE(Trabajo3_Turno1_Código),1,IF(MID(_xlfn.SINGLE(Trabajo3_Patrón),MOD(C35-_xlfn.SINGLE(Trabajo3_DíaInicio),LEN(_xlfn.SINGLE(Trabajo3_Patrón)))+1,1)=_xlfn.SINGLE(Trabajo3_Turno2_Código),2,IF(MID(_xlfn.SINGLE(Trabajo3_Patrón),MOD(C35-_xlfn.SINGLE(Trabajo3_DíaInicio),LEN(_xlfn.SINGLE(Trabajo3_Patrón)))+1,1)=_xlfn.SINGLE(Trabajo3_Turno3_Código),3,""))))</f>
        <v/>
      </c>
      <c r="D39" s="42" t="str">
        <f t="shared" si="17"/>
        <v/>
      </c>
      <c r="E39" s="42">
        <f t="shared" si="17"/>
        <v>3</v>
      </c>
      <c r="F39" s="42">
        <f t="shared" si="17"/>
        <v>3</v>
      </c>
      <c r="G39" s="42" t="str">
        <f t="shared" si="17"/>
        <v/>
      </c>
      <c r="H39" s="42" t="str">
        <f t="shared" si="17"/>
        <v/>
      </c>
      <c r="I39" s="42" t="str">
        <f t="shared" si="17"/>
        <v/>
      </c>
      <c r="J39" s="42">
        <f t="shared" si="17"/>
        <v>3</v>
      </c>
      <c r="K39" s="42" t="str">
        <f t="shared" si="17"/>
        <v/>
      </c>
      <c r="L39" s="42" t="str">
        <f t="shared" si="17"/>
        <v/>
      </c>
      <c r="M39" s="42" t="str">
        <f t="shared" si="17"/>
        <v/>
      </c>
      <c r="N39" s="42" t="str">
        <f t="shared" si="17"/>
        <v/>
      </c>
      <c r="O39" s="42" t="str">
        <f t="shared" si="17"/>
        <v/>
      </c>
      <c r="P39" s="42" t="str">
        <f t="shared" si="17"/>
        <v/>
      </c>
      <c r="Q39" s="42">
        <f t="shared" si="17"/>
        <v>3</v>
      </c>
      <c r="R39" s="42">
        <f t="shared" si="17"/>
        <v>3</v>
      </c>
      <c r="S39" s="42" t="str">
        <f t="shared" si="17"/>
        <v/>
      </c>
      <c r="T39" s="42" t="str">
        <f t="shared" si="17"/>
        <v/>
      </c>
      <c r="U39" s="42" t="str">
        <f t="shared" si="17"/>
        <v/>
      </c>
      <c r="V39" s="42">
        <f t="shared" si="17"/>
        <v>3</v>
      </c>
      <c r="W39" s="42">
        <f t="shared" si="17"/>
        <v>3</v>
      </c>
      <c r="X39" s="42" t="str">
        <f t="shared" si="17"/>
        <v/>
      </c>
      <c r="Y39" s="42" t="str">
        <f t="shared" si="17"/>
        <v/>
      </c>
      <c r="Z39" s="42" t="str">
        <f t="shared" si="17"/>
        <v/>
      </c>
      <c r="AA39" s="42" t="str">
        <f t="shared" si="17"/>
        <v/>
      </c>
      <c r="AB39" s="42">
        <f t="shared" si="17"/>
        <v>3</v>
      </c>
      <c r="AC39" s="42">
        <f t="shared" si="17"/>
        <v>3</v>
      </c>
      <c r="AD39" s="42" t="str">
        <f t="shared" si="17"/>
        <v/>
      </c>
      <c r="AE39" s="42" t="str">
        <f t="shared" si="17"/>
        <v/>
      </c>
      <c r="AF39" s="42" t="str">
        <f t="shared" si="17"/>
        <v/>
      </c>
      <c r="AG39" s="42" t="str">
        <f t="shared" si="17"/>
        <v/>
      </c>
      <c r="AH39" s="42">
        <f t="shared" si="17"/>
        <v>3</v>
      </c>
      <c r="AI39" s="42" t="str">
        <f t="shared" si="17"/>
        <v/>
      </c>
      <c r="AJ39" s="42" t="str">
        <f t="shared" si="17"/>
        <v/>
      </c>
      <c r="AK39" s="42" t="str">
        <f t="shared" si="17"/>
        <v/>
      </c>
      <c r="AL39" s="42" t="str">
        <f t="shared" si="17"/>
        <v/>
      </c>
      <c r="AM39" s="42" t="str">
        <f t="shared" si="17"/>
        <v/>
      </c>
    </row>
    <row r="40" spans="2:39" ht="12" customHeight="1" x14ac:dyDescent="0.35"/>
    <row r="41" spans="2:39" s="12" customFormat="1" ht="18.899999999999999" customHeight="1" x14ac:dyDescent="0.35">
      <c r="B41" s="48">
        <f>DATE(AñoCalendario,7,1)</f>
        <v>44378</v>
      </c>
      <c r="C41" s="14" t="str" cm="1">
        <f t="array" ref="C41">IF(DAY(JulDom1)=1,"",IF(AND(YEAR(JulDom1+1)=AñoCalendario,MONTH(JulDom1+1)=7),JulDom1+1,""))</f>
        <v/>
      </c>
      <c r="D41" s="14" t="str" cm="1">
        <f t="array" ref="D41">IF(DAY(JulDom1)=1,"",IF(AND(YEAR(JulDom1+2)=AñoCalendario,MONTH(JulDom1+2)=7),JulDom1+2,""))</f>
        <v/>
      </c>
      <c r="E41" s="14" t="str" cm="1">
        <f t="array" ref="E41">IF(DAY(JulDom1)=1,"",IF(AND(YEAR(JulDom1+3)=AñoCalendario,MONTH(JulDom1+3)=7),JulDom1+3,""))</f>
        <v/>
      </c>
      <c r="F41" s="14" t="str" cm="1">
        <f t="array" ref="F41">IF(DAY(JulDom1)=1,"",IF(AND(YEAR(JulDom1+4)=AñoCalendario,MONTH(JulDom1+4)=7),JulDom1+4,""))</f>
        <v/>
      </c>
      <c r="G41" s="14" cm="1">
        <f t="array" ref="G41">IF(DAY(JulDom1)=1,"",IF(AND(YEAR(JulDom1+5)=AñoCalendario,MONTH(JulDom1+5)=7),JulDom1+5,""))</f>
        <v>44378</v>
      </c>
      <c r="H41" s="14" cm="1">
        <f t="array" ref="H41">IF(DAY(JulDom1)=1,"",IF(AND(YEAR(JulDom1+6)=AñoCalendario,MONTH(JulDom1+6)=7),JulDom1+6,""))</f>
        <v>44379</v>
      </c>
      <c r="I41" s="14" cm="1">
        <f t="array" ref="I41">_xlfn.SINGLE(IF(DAY(JulDom1)=1,IF(AND(YEAR(JulDom1)=AñoCalendario,MONTH(JulDom1)=7),JulSun1,""),IF(AND(YEAR(JulDom1+7)=AñoCalendario,MONTH(JulDom1+7)=7),JulDom1+7,"")))</f>
        <v>44380</v>
      </c>
      <c r="J41" s="14" cm="1">
        <f t="array" ref="J41">IF(DAY(JulDom1)=1,IF(AND(YEAR(JulDom1+1)=AñoCalendario,MONTH(JulDom1+1)=7),JulDom1+1,""),IF(AND(YEAR(JulDom1+8)=AñoCalendario,MONTH(JulDom1+8)=7),JulDom1+8,""))</f>
        <v>44381</v>
      </c>
      <c r="K41" s="14" cm="1">
        <f t="array" ref="K41">IF(DAY(JulDom1)=1,IF(AND(YEAR(JulDom1+2)=AñoCalendario,MONTH(JulDom1+2)=7),JulDom1+2,""),IF(AND(YEAR(JulDom1+9)=AñoCalendario,MONTH(JulDom1+9)=7),JulDom1+9,""))</f>
        <v>44382</v>
      </c>
      <c r="L41" s="14" cm="1">
        <f t="array" ref="L41">IF(DAY(JulDom1)=1,IF(AND(YEAR(JulDom1+3)=AñoCalendario,MONTH(JulDom1+3)=7),JulDom1+3,""),IF(AND(YEAR(JulDom1+10)=AñoCalendario,MONTH(JulDom1+10)=7),JulDom1+10,""))</f>
        <v>44383</v>
      </c>
      <c r="M41" s="14" cm="1">
        <f t="array" ref="M41">IF(DAY(JulDom1)=1,IF(AND(YEAR(JulDom1+4)=AñoCalendario,MONTH(JulDom1+4)=7),JulDom1+4,""),IF(AND(YEAR(JulDom1+11)=AñoCalendario,MONTH(JulDom1+11)=7),JulDom1+11,""))</f>
        <v>44384</v>
      </c>
      <c r="N41" s="14" cm="1">
        <f t="array" ref="N41">IF(DAY(JulDom1)=1,IF(AND(YEAR(JulDom1+5)=AñoCalendario,MONTH(JulDom1+5)=7),JulDom1+5,""),IF(AND(YEAR(JulDom1+12)=AñoCalendario,MONTH(JulDom1+12)=7),JulDom1+12,""))</f>
        <v>44385</v>
      </c>
      <c r="O41" s="14" cm="1">
        <f t="array" ref="O41">IF(DAY(JulDom1)=1,IF(AND(YEAR(JulDom1+6)=AñoCalendario,MONTH(JulDom1+6)=7),JulDom1+6,""),IF(AND(YEAR(JulDom1+13)=AñoCalendario,MONTH(JulDom1+13)=7),JulDom1+13,""))</f>
        <v>44386</v>
      </c>
      <c r="P41" s="14" cm="1">
        <f t="array" ref="P41">IF(DAY(JulDom1)=1,IF(AND(YEAR(JulDom1+7)=AñoCalendario,MONTH(JulDom1+7)=7),JulDom1+7,""),IF(AND(YEAR(JulDom1+14)=AñoCalendario,MONTH(JulDom1+14)=7),JulDom1+14,""))</f>
        <v>44387</v>
      </c>
      <c r="Q41" s="14" cm="1">
        <f t="array" ref="Q41">IF(DAY(JulDom1)=1,IF(AND(YEAR(JulDom1+8)=AñoCalendario,MONTH(JulDom1+8)=7),JulDom1+8,""),IF(AND(YEAR(JulDom1+15)=AñoCalendario,MONTH(JulDom1+15)=7),JulDom1+15,""))</f>
        <v>44388</v>
      </c>
      <c r="R41" s="14" cm="1">
        <f t="array" ref="R41">IF(DAY(JulDom1)=1,IF(AND(YEAR(JulDom1+9)=AñoCalendario,MONTH(JulDom1+9)=7),JulDom1+9,""),IF(AND(YEAR(JulDom1+16)=AñoCalendario,MONTH(JulDom1+16)=7),JulDom1+16,""))</f>
        <v>44389</v>
      </c>
      <c r="S41" s="14" cm="1">
        <f t="array" ref="S41">IF(DAY(JulDom1)=1,IF(AND(YEAR(JulDom1+10)=AñoCalendario,MONTH(JulDom1+10)=7),JulDom1+10,""),IF(AND(YEAR(JulDom1+17)=AñoCalendario,MONTH(JulDom1+17)=7),JulDom1+17,""))</f>
        <v>44390</v>
      </c>
      <c r="T41" s="14" cm="1">
        <f t="array" ref="T41">IF(DAY(JulDom1)=1,IF(AND(YEAR(JulDom1+11)=AñoCalendario,MONTH(JulDom1+11)=7),JulDom1+11,""),IF(AND(YEAR(JulDom1+18)=AñoCalendario,MONTH(JulDom1+18)=7),JulDom1+18,""))</f>
        <v>44391</v>
      </c>
      <c r="U41" s="14" cm="1">
        <f t="array" ref="U41">IF(DAY(JulDom1)=1,IF(AND(YEAR(JulDom1+12)=AñoCalendario,MONTH(JulDom1+12)=7),JulDom1+12,""),IF(AND(YEAR(JulDom1+19)=AñoCalendario,MONTH(JulDom1+19)=7),JulDom1+19,""))</f>
        <v>44392</v>
      </c>
      <c r="V41" s="14" cm="1">
        <f t="array" ref="V41">IF(DAY(JulDom1)=1,IF(AND(YEAR(JulDom1+13)=AñoCalendario,MONTH(JulDom1+13)=7),JulDom1+13,""),IF(AND(YEAR(JulDom1+20)=AñoCalendario,MONTH(JulDom1+20)=7),JulDom1+20,""))</f>
        <v>44393</v>
      </c>
      <c r="W41" s="14" cm="1">
        <f t="array" ref="W41">IF(DAY(JulDom1)=1,IF(AND(YEAR(JulDom1+14)=AñoCalendario,MONTH(JulDom1+14)=7),JulDom1+14,""),IF(AND(YEAR(JulDom1+21)=AñoCalendario,MONTH(JulDom1+21)=7),JulDom1+21,""))</f>
        <v>44394</v>
      </c>
      <c r="X41" s="14" cm="1">
        <f t="array" ref="X41">IF(DAY(JulDom1)=1,IF(AND(YEAR(JulDom1+15)=AñoCalendario,MONTH(JulDom1+15)=7),JulDom1+15,""),IF(AND(YEAR(JulDom1+22)=AñoCalendario,MONTH(JulDom1+22)=7),JulDom1+22,""))</f>
        <v>44395</v>
      </c>
      <c r="Y41" s="14" cm="1">
        <f t="array" ref="Y41">IF(DAY(JulDom1)=1,IF(AND(YEAR(JulDom1+16)=AñoCalendario,MONTH(JulDom1+16)=7),JulDom1+16,""),IF(AND(YEAR(JulDom1+23)=AñoCalendario,MONTH(JulDom1+23)=7),JulDom1+23,""))</f>
        <v>44396</v>
      </c>
      <c r="Z41" s="14" cm="1">
        <f t="array" ref="Z41">IF(DAY(JulDom1)=1,IF(AND(YEAR(JulDom1+17)=AñoCalendario,MONTH(JulDom1+17)=7),JulDom1+17,""),IF(AND(YEAR(JulDom1+24)=AñoCalendario,MONTH(JulDom1+24)=7),JulDom1+24,""))</f>
        <v>44397</v>
      </c>
      <c r="AA41" s="14" cm="1">
        <f t="array" ref="AA41">IF(DAY(JulDom1)=1,IF(AND(YEAR(JulDom1+18)=AñoCalendario,MONTH(JulDom1+18)=7),JulDom1+18,""),IF(AND(YEAR(JulDom1+25)=AñoCalendario,MONTH(JulDom1+25)=7),JulDom1+25,""))</f>
        <v>44398</v>
      </c>
      <c r="AB41" s="14" cm="1">
        <f t="array" ref="AB41">IF(DAY(JulDom1)=1,IF(AND(YEAR(JulDom1+19)=AñoCalendario,MONTH(JulDom1+19)=7),JulDom1+19,""),IF(AND(YEAR(JulDom1+26)=AñoCalendario,MONTH(JulDom1+26)=7),JulDom1+26,""))</f>
        <v>44399</v>
      </c>
      <c r="AC41" s="14" cm="1">
        <f t="array" ref="AC41">IF(DAY(JulDom1)=1,IF(AND(YEAR(JulDom1+20)=AñoCalendario,MONTH(JulDom1+20)=7),JulDom1+20,""),IF(AND(YEAR(JulDom1+27)=AñoCalendario,MONTH(JulDom1+27)=7),JulDom1+27,""))</f>
        <v>44400</v>
      </c>
      <c r="AD41" s="14" cm="1">
        <f t="array" ref="AD41">IF(DAY(JulDom1)=1,IF(AND(YEAR(JulDom1+21)=AñoCalendario,MONTH(JulDom1+21)=7),JulDom1+21,""),IF(AND(YEAR(JulDom1+28)=AñoCalendario,MONTH(JulDom1+28)=7),JulDom1+28,""))</f>
        <v>44401</v>
      </c>
      <c r="AE41" s="14" cm="1">
        <f t="array" ref="AE41">IF(DAY(JulDom1)=1,IF(AND(YEAR(JulDom1+22)=AñoCalendario,MONTH(JulDom1+22)=7),JulDom1+22,""),IF(AND(YEAR(JulDom1+29)=AñoCalendario,MONTH(JulDom1+29)=7),JulDom1+29,""))</f>
        <v>44402</v>
      </c>
      <c r="AF41" s="14" cm="1">
        <f t="array" ref="AF41">IF(DAY(JulDom1)=1,IF(AND(YEAR(JulDom1+23)=AñoCalendario,MONTH(JulDom1+23)=7),JulDom1+23,""),IF(AND(YEAR(JulDom1+30)=AñoCalendario,MONTH(JulDom1+30)=7),JulDom1+30,""))</f>
        <v>44403</v>
      </c>
      <c r="AG41" s="14" cm="1">
        <f t="array" ref="AG41">IF(DAY(JulDom1)=1,IF(AND(YEAR(JulDom1+24)=AñoCalendario,MONTH(JulDom1+24)=7),JulDom1+24,""),IF(AND(YEAR(JulDom1+31)=AñoCalendario,MONTH(JulDom1+31)=7),JulDom1+31,""))</f>
        <v>44404</v>
      </c>
      <c r="AH41" s="14" cm="1">
        <f t="array" ref="AH41">IF(DAY(JulDom1)=1,IF(AND(YEAR(JulDom1+25)=AñoCalendario,MONTH(JulDom1+25)=7),JulDom1+25,""),IF(AND(YEAR(JulDom1+32)=AñoCalendario,MONTH(JulDom1+32)=7),JulDom1+32,""))</f>
        <v>44405</v>
      </c>
      <c r="AI41" s="14" cm="1">
        <f t="array" ref="AI41">IF(DAY(JulDom1)=1,IF(AND(YEAR(JulDom1+26)=AñoCalendario,MONTH(JulDom1+26)=7),JulDom1+26,""),IF(AND(YEAR(JulDom1+33)=AñoCalendario,MONTH(JulDom1+33)=7),JulDom1+33,""))</f>
        <v>44406</v>
      </c>
      <c r="AJ41" s="14" cm="1">
        <f t="array" ref="AJ41">IF(DAY(JulDom1)=1,IF(AND(YEAR(JulDom1+27)=AñoCalendario,MONTH(JulDom1+27)=7),JulDom1+27,""),IF(AND(YEAR(JulDom1+34)=AñoCalendario,MONTH(JulDom1+34)=7),JulDom1+34,""))</f>
        <v>44407</v>
      </c>
      <c r="AK41" s="14" cm="1">
        <f t="array" ref="AK41">IF(DAY(JulDom1)=1,IF(AND(YEAR(JulDom1+28)=AñoCalendario,MONTH(JulDom1+28)=7),JulDom1+28,""),IF(AND(YEAR(JulDom1+35)=AñoCalendario,MONTH(JulDom1+35)=7),JulDom1+35,""))</f>
        <v>44408</v>
      </c>
      <c r="AL41" s="14" t="str" cm="1">
        <f t="array" ref="AL41">IF(DAY(JulDom1)=1,IF(AND(YEAR(JulDom1+29)=AñoCalendario,MONTH(JulDom1+29)=7),JulDom1+29,""),IF(AND(YEAR(JulDom1+36)=AñoCalendario,MONTH(JulDom1+36)=7),JulDom1+36,""))</f>
        <v/>
      </c>
      <c r="AM41" s="15" t="str" cm="1">
        <f t="array" ref="AM41">IF(DAY(JulDom1)=1,IF(AND(YEAR(JulDom1+30)=AñoCalendario,MONTH(JulDom1+30)=7),JulDom1+30,""),IF(AND(YEAR(JulDom1+37)=AñoCalendario,MONTH(JulDom1+37)=7),JulDom1+37,""))</f>
        <v/>
      </c>
    </row>
    <row r="42" spans="2:39" s="12" customFormat="1" ht="18.899999999999999" customHeight="1" x14ac:dyDescent="0.35">
      <c r="B42" s="49"/>
      <c r="C42" s="13" t="s">
        <v>0</v>
      </c>
      <c r="D42" s="13" t="s">
        <v>1</v>
      </c>
      <c r="E42" s="13" t="s">
        <v>2</v>
      </c>
      <c r="F42" s="13" t="s">
        <v>3</v>
      </c>
      <c r="G42" s="13" t="s">
        <v>4</v>
      </c>
      <c r="H42" s="13" t="s">
        <v>5</v>
      </c>
      <c r="I42" s="13" t="s">
        <v>6</v>
      </c>
      <c r="J42" s="13" t="s">
        <v>0</v>
      </c>
      <c r="K42" s="13" t="s">
        <v>1</v>
      </c>
      <c r="L42" s="13" t="s">
        <v>2</v>
      </c>
      <c r="M42" s="13" t="s">
        <v>3</v>
      </c>
      <c r="N42" s="13" t="s">
        <v>4</v>
      </c>
      <c r="O42" s="13" t="s">
        <v>5</v>
      </c>
      <c r="P42" s="13" t="s">
        <v>6</v>
      </c>
      <c r="Q42" s="13" t="s">
        <v>0</v>
      </c>
      <c r="R42" s="13" t="s">
        <v>1</v>
      </c>
      <c r="S42" s="13" t="s">
        <v>2</v>
      </c>
      <c r="T42" s="13" t="s">
        <v>3</v>
      </c>
      <c r="U42" s="13" t="s">
        <v>4</v>
      </c>
      <c r="V42" s="13" t="s">
        <v>5</v>
      </c>
      <c r="W42" s="13" t="s">
        <v>6</v>
      </c>
      <c r="X42" s="13" t="s">
        <v>0</v>
      </c>
      <c r="Y42" s="13" t="s">
        <v>1</v>
      </c>
      <c r="Z42" s="13" t="s">
        <v>2</v>
      </c>
      <c r="AA42" s="13" t="s">
        <v>3</v>
      </c>
      <c r="AB42" s="13" t="s">
        <v>4</v>
      </c>
      <c r="AC42" s="13" t="s">
        <v>5</v>
      </c>
      <c r="AD42" s="13" t="s">
        <v>6</v>
      </c>
      <c r="AE42" s="13" t="s">
        <v>0</v>
      </c>
      <c r="AF42" s="13" t="s">
        <v>1</v>
      </c>
      <c r="AG42" s="13" t="s">
        <v>2</v>
      </c>
      <c r="AH42" s="13" t="s">
        <v>3</v>
      </c>
      <c r="AI42" s="13" t="s">
        <v>4</v>
      </c>
      <c r="AJ42" s="13" t="s">
        <v>5</v>
      </c>
      <c r="AK42" s="13" t="s">
        <v>6</v>
      </c>
      <c r="AL42" s="13" t="s">
        <v>0</v>
      </c>
      <c r="AM42" s="16" t="s">
        <v>1</v>
      </c>
    </row>
    <row r="43" spans="2:39" ht="18.899999999999999" customHeight="1" x14ac:dyDescent="0.35">
      <c r="B43" s="10" t="str">
        <f>IF(Trabajo1_Nombre="","",Trabajo1_Nombre)</f>
        <v>Trabajo 1</v>
      </c>
      <c r="C43" s="41" t="str">
        <f t="shared" ref="C43:AM43" si="18">IF(OR(NOT(ISNUMBER(C41)),C41&lt;_xlfn.SINGLE(Trabajo1_DíaInicio)),"",IF(MID(_xlfn.SINGLE(Trabajo1_Patrón),MOD(C41-_xlfn.SINGLE(Trabajo1_DíaInicio),LEN(_xlfn.SINGLE(Trabajo1_Patrón)))+1,1)=_xlfn.SINGLE(Trabajo1_Turno1_Código),1,IF(MID(_xlfn.SINGLE(Trabajo1_Patrón),MOD(C41-_xlfn.SINGLE(Trabajo1_DíaInicio),LEN(_xlfn.SINGLE(Trabajo1_Patrón)))+1,1)=_xlfn.SINGLE(Trabajo1_Turno2_Código),2,IF(MID(_xlfn.SINGLE(Trabajo1_Patrón),MOD(C41-_xlfn.SINGLE(Trabajo1_DíaInicio),LEN(_xlfn.SINGLE(Trabajo1_Patrón)))+1,1)=_xlfn.SINGLE(Trabajo1_Turno3_Código),3,""))))</f>
        <v/>
      </c>
      <c r="D43" s="41" t="str">
        <f t="shared" si="18"/>
        <v/>
      </c>
      <c r="E43" s="41" t="str">
        <f t="shared" si="18"/>
        <v/>
      </c>
      <c r="F43" s="41" t="str">
        <f t="shared" si="18"/>
        <v/>
      </c>
      <c r="G43" s="41" t="str">
        <f t="shared" si="18"/>
        <v/>
      </c>
      <c r="H43" s="41" t="str">
        <f t="shared" si="18"/>
        <v/>
      </c>
      <c r="I43" s="41" t="str">
        <f t="shared" si="18"/>
        <v/>
      </c>
      <c r="J43" s="41">
        <f t="shared" si="18"/>
        <v>1</v>
      </c>
      <c r="K43" s="41">
        <f t="shared" si="18"/>
        <v>1</v>
      </c>
      <c r="L43" s="41">
        <f t="shared" si="18"/>
        <v>1</v>
      </c>
      <c r="M43" s="41">
        <f t="shared" si="18"/>
        <v>1</v>
      </c>
      <c r="N43" s="41" t="str">
        <f t="shared" si="18"/>
        <v/>
      </c>
      <c r="O43" s="41" t="str">
        <f t="shared" si="18"/>
        <v/>
      </c>
      <c r="P43" s="41">
        <f t="shared" si="18"/>
        <v>2</v>
      </c>
      <c r="Q43" s="41">
        <f t="shared" si="18"/>
        <v>2</v>
      </c>
      <c r="R43" s="41">
        <f t="shared" si="18"/>
        <v>2</v>
      </c>
      <c r="S43" s="41">
        <f t="shared" si="18"/>
        <v>2</v>
      </c>
      <c r="T43" s="41" t="str">
        <f t="shared" si="18"/>
        <v/>
      </c>
      <c r="U43" s="41" t="str">
        <f t="shared" si="18"/>
        <v/>
      </c>
      <c r="V43" s="41">
        <f t="shared" si="18"/>
        <v>1</v>
      </c>
      <c r="W43" s="41">
        <f t="shared" si="18"/>
        <v>1</v>
      </c>
      <c r="X43" s="41">
        <f t="shared" si="18"/>
        <v>1</v>
      </c>
      <c r="Y43" s="41" t="str">
        <f t="shared" si="18"/>
        <v/>
      </c>
      <c r="Z43" s="41">
        <f t="shared" si="18"/>
        <v>2</v>
      </c>
      <c r="AA43" s="41">
        <f t="shared" si="18"/>
        <v>2</v>
      </c>
      <c r="AB43" s="41">
        <f t="shared" si="18"/>
        <v>2</v>
      </c>
      <c r="AC43" s="41" t="str">
        <f t="shared" si="18"/>
        <v/>
      </c>
      <c r="AD43" s="41" t="str">
        <f t="shared" si="18"/>
        <v/>
      </c>
      <c r="AE43" s="41" t="str">
        <f t="shared" si="18"/>
        <v/>
      </c>
      <c r="AF43" s="41">
        <f t="shared" si="18"/>
        <v>1</v>
      </c>
      <c r="AG43" s="41">
        <f t="shared" si="18"/>
        <v>1</v>
      </c>
      <c r="AH43" s="41" t="str">
        <f t="shared" si="18"/>
        <v/>
      </c>
      <c r="AI43" s="41">
        <f t="shared" si="18"/>
        <v>2</v>
      </c>
      <c r="AJ43" s="41">
        <f t="shared" si="18"/>
        <v>2</v>
      </c>
      <c r="AK43" s="41" t="str">
        <f t="shared" si="18"/>
        <v/>
      </c>
      <c r="AL43" s="41" t="str">
        <f t="shared" si="18"/>
        <v/>
      </c>
      <c r="AM43" s="41" t="str">
        <f t="shared" si="18"/>
        <v/>
      </c>
    </row>
    <row r="44" spans="2:39" ht="18.899999999999999" customHeight="1" x14ac:dyDescent="0.35">
      <c r="B44" s="11" t="str">
        <f>IF(Trabajo2_Nombre="","",Trabajo2_Nombre)</f>
        <v>Trabajo 2</v>
      </c>
      <c r="C44" s="42" t="str">
        <f t="shared" ref="C44:AM44" si="19">IF(OR(NOT(ISNUMBER(C41)),C41&lt;_xlfn.SINGLE(Trabajo2_DíaInicio)),"",IF(MID(_xlfn.SINGLE(Trabajo2_Patrón),MOD(C41-_xlfn.SINGLE(Trabajo2_DíaInicio),LEN(_xlfn.SINGLE(Trabajo2_Patrón)))+1,1)=_xlfn.SINGLE(Trabajo2_Turno1_Código),1,IF(MID(_xlfn.SINGLE(Trabajo2_Patrón),MOD(C41-_xlfn.SINGLE(Trabajo2_DíaInicio),LEN(_xlfn.SINGLE(Trabajo2_Patrón)))+1,1)=_xlfn.SINGLE(Trabajo2_Turno2_Código),2,IF(MID(_xlfn.SINGLE(Trabajo2_Patrón),MOD(C41-_xlfn.SINGLE(Trabajo2_DíaInicio),LEN(_xlfn.SINGLE(Trabajo2_Patrón)))+1,1)=_xlfn.SINGLE(Trabajo2_Turno3_Código),3,""))))</f>
        <v/>
      </c>
      <c r="D44" s="42" t="str">
        <f t="shared" si="19"/>
        <v/>
      </c>
      <c r="E44" s="42" t="str">
        <f t="shared" si="19"/>
        <v/>
      </c>
      <c r="F44" s="42" t="str">
        <f t="shared" si="19"/>
        <v/>
      </c>
      <c r="G44" s="42">
        <f t="shared" si="19"/>
        <v>1</v>
      </c>
      <c r="H44" s="42">
        <f t="shared" si="19"/>
        <v>1</v>
      </c>
      <c r="I44" s="42" t="str">
        <f t="shared" si="19"/>
        <v/>
      </c>
      <c r="J44" s="42" t="str">
        <f t="shared" si="19"/>
        <v/>
      </c>
      <c r="K44" s="42" t="str">
        <f t="shared" si="19"/>
        <v/>
      </c>
      <c r="L44" s="42">
        <f t="shared" si="19"/>
        <v>2</v>
      </c>
      <c r="M44" s="42">
        <f t="shared" si="19"/>
        <v>2</v>
      </c>
      <c r="N44" s="42" t="str">
        <f t="shared" si="19"/>
        <v/>
      </c>
      <c r="O44" s="42">
        <f t="shared" si="19"/>
        <v>1</v>
      </c>
      <c r="P44" s="42">
        <f t="shared" si="19"/>
        <v>1</v>
      </c>
      <c r="Q44" s="42" t="str">
        <f t="shared" si="19"/>
        <v/>
      </c>
      <c r="R44" s="42" t="str">
        <f t="shared" si="19"/>
        <v/>
      </c>
      <c r="S44" s="42" t="str">
        <f t="shared" si="19"/>
        <v/>
      </c>
      <c r="T44" s="42">
        <f t="shared" si="19"/>
        <v>2</v>
      </c>
      <c r="U44" s="42">
        <f t="shared" si="19"/>
        <v>2</v>
      </c>
      <c r="V44" s="42">
        <f t="shared" si="19"/>
        <v>2</v>
      </c>
      <c r="W44" s="42">
        <f t="shared" si="19"/>
        <v>2</v>
      </c>
      <c r="X44" s="42" t="str">
        <f t="shared" si="19"/>
        <v/>
      </c>
      <c r="Y44" s="42" t="str">
        <f t="shared" si="19"/>
        <v/>
      </c>
      <c r="Z44" s="42" t="str">
        <f t="shared" si="19"/>
        <v/>
      </c>
      <c r="AA44" s="42" t="str">
        <f t="shared" si="19"/>
        <v/>
      </c>
      <c r="AB44" s="42" t="str">
        <f t="shared" si="19"/>
        <v/>
      </c>
      <c r="AC44" s="42">
        <f t="shared" si="19"/>
        <v>1</v>
      </c>
      <c r="AD44" s="42" t="str">
        <f t="shared" si="19"/>
        <v/>
      </c>
      <c r="AE44" s="42" t="str">
        <f t="shared" si="19"/>
        <v/>
      </c>
      <c r="AF44" s="42">
        <f t="shared" si="19"/>
        <v>2</v>
      </c>
      <c r="AG44" s="42">
        <f t="shared" si="19"/>
        <v>2</v>
      </c>
      <c r="AH44" s="42">
        <f t="shared" si="19"/>
        <v>2</v>
      </c>
      <c r="AI44" s="42" t="str">
        <f t="shared" si="19"/>
        <v/>
      </c>
      <c r="AJ44" s="42" t="str">
        <f t="shared" si="19"/>
        <v/>
      </c>
      <c r="AK44" s="42">
        <f t="shared" si="19"/>
        <v>1</v>
      </c>
      <c r="AL44" s="42" t="str">
        <f t="shared" si="19"/>
        <v/>
      </c>
      <c r="AM44" s="42" t="str">
        <f t="shared" si="19"/>
        <v/>
      </c>
    </row>
    <row r="45" spans="2:39" ht="18.899999999999999" customHeight="1" x14ac:dyDescent="0.35">
      <c r="B45" s="11" t="str">
        <f>_xlfn.SINGLE(IF(_xlfn.SINGLE(Trabajo3_Nombre)="","",Trabajo3_Nombre))</f>
        <v>Trabajo 3</v>
      </c>
      <c r="C45" s="42" t="str">
        <f t="shared" ref="C45:AM45" si="20">IF(OR(NOT(ISNUMBER(C41)),C41&lt;_xlfn.SINGLE(Trabajo3_DíaInicio)),"",IF(MID(_xlfn.SINGLE(Trabajo3_Patrón),MOD(C41-_xlfn.SINGLE(Trabajo3_DíaInicio),LEN(_xlfn.SINGLE(Trabajo3_Patrón)))+1,1)=_xlfn.SINGLE(Trabajo3_Turno1_Código),1,IF(MID(_xlfn.SINGLE(Trabajo3_Patrón),MOD(C41-_xlfn.SINGLE(Trabajo3_DíaInicio),LEN(_xlfn.SINGLE(Trabajo3_Patrón)))+1,1)=_xlfn.SINGLE(Trabajo3_Turno2_Código),2,IF(MID(_xlfn.SINGLE(Trabajo3_Patrón),MOD(C41-_xlfn.SINGLE(Trabajo3_DíaInicio),LEN(_xlfn.SINGLE(Trabajo3_Patrón)))+1,1)=_xlfn.SINGLE(Trabajo3_Turno3_Código),3,""))))</f>
        <v/>
      </c>
      <c r="D45" s="42" t="str">
        <f t="shared" si="20"/>
        <v/>
      </c>
      <c r="E45" s="42" t="str">
        <f t="shared" si="20"/>
        <v/>
      </c>
      <c r="F45" s="42" t="str">
        <f t="shared" si="20"/>
        <v/>
      </c>
      <c r="G45" s="42">
        <f t="shared" si="20"/>
        <v>3</v>
      </c>
      <c r="H45" s="42">
        <f t="shared" si="20"/>
        <v>3</v>
      </c>
      <c r="I45" s="42" t="str">
        <f t="shared" si="20"/>
        <v/>
      </c>
      <c r="J45" s="42" t="str">
        <f t="shared" si="20"/>
        <v/>
      </c>
      <c r="K45" s="42" t="str">
        <f t="shared" si="20"/>
        <v/>
      </c>
      <c r="L45" s="42">
        <f t="shared" si="20"/>
        <v>3</v>
      </c>
      <c r="M45" s="42" t="str">
        <f t="shared" si="20"/>
        <v/>
      </c>
      <c r="N45" s="42" t="str">
        <f t="shared" si="20"/>
        <v/>
      </c>
      <c r="O45" s="42" t="str">
        <f t="shared" si="20"/>
        <v/>
      </c>
      <c r="P45" s="42" t="str">
        <f t="shared" si="20"/>
        <v/>
      </c>
      <c r="Q45" s="42" t="str">
        <f t="shared" si="20"/>
        <v/>
      </c>
      <c r="R45" s="42" t="str">
        <f t="shared" si="20"/>
        <v/>
      </c>
      <c r="S45" s="42">
        <f t="shared" si="20"/>
        <v>3</v>
      </c>
      <c r="T45" s="42">
        <f t="shared" si="20"/>
        <v>3</v>
      </c>
      <c r="U45" s="42" t="str">
        <f t="shared" si="20"/>
        <v/>
      </c>
      <c r="V45" s="42" t="str">
        <f t="shared" si="20"/>
        <v/>
      </c>
      <c r="W45" s="42" t="str">
        <f t="shared" si="20"/>
        <v/>
      </c>
      <c r="X45" s="42">
        <f t="shared" si="20"/>
        <v>3</v>
      </c>
      <c r="Y45" s="42">
        <f t="shared" si="20"/>
        <v>3</v>
      </c>
      <c r="Z45" s="42" t="str">
        <f t="shared" si="20"/>
        <v/>
      </c>
      <c r="AA45" s="42" t="str">
        <f t="shared" si="20"/>
        <v/>
      </c>
      <c r="AB45" s="42" t="str">
        <f t="shared" si="20"/>
        <v/>
      </c>
      <c r="AC45" s="42" t="str">
        <f t="shared" si="20"/>
        <v/>
      </c>
      <c r="AD45" s="42">
        <f t="shared" si="20"/>
        <v>3</v>
      </c>
      <c r="AE45" s="42">
        <f t="shared" si="20"/>
        <v>3</v>
      </c>
      <c r="AF45" s="42" t="str">
        <f t="shared" si="20"/>
        <v/>
      </c>
      <c r="AG45" s="42" t="str">
        <f t="shared" si="20"/>
        <v/>
      </c>
      <c r="AH45" s="42" t="str">
        <f t="shared" si="20"/>
        <v/>
      </c>
      <c r="AI45" s="42" t="str">
        <f t="shared" si="20"/>
        <v/>
      </c>
      <c r="AJ45" s="42">
        <f t="shared" si="20"/>
        <v>3</v>
      </c>
      <c r="AK45" s="42">
        <f t="shared" si="20"/>
        <v>3</v>
      </c>
      <c r="AL45" s="42" t="str">
        <f t="shared" si="20"/>
        <v/>
      </c>
      <c r="AM45" s="42" t="str">
        <f t="shared" si="20"/>
        <v/>
      </c>
    </row>
    <row r="46" spans="2:39" ht="12" customHeight="1" x14ac:dyDescent="0.35"/>
    <row r="47" spans="2:39" s="12" customFormat="1" ht="18.899999999999999" customHeight="1" x14ac:dyDescent="0.35">
      <c r="B47" s="48">
        <f>DATE(AñoCalendario,8,1)</f>
        <v>44409</v>
      </c>
      <c r="C47" s="14" cm="1">
        <f t="array" ref="C47">IF(DAY(AgoDom1)=1,"",IF(AND(YEAR(AgoDom1+1)=AñoCalendario,MONTH(AgoDom1+1)=8),AgoDom1+1,""))</f>
        <v>44409</v>
      </c>
      <c r="D47" s="14" cm="1">
        <f t="array" ref="D47">IF(DAY(AgoDom1)=1,"",IF(AND(YEAR(AgoDom1+2)=AñoCalendario,MONTH(AgoDom1+2)=8),AgoDom1+2,""))</f>
        <v>44410</v>
      </c>
      <c r="E47" s="14" cm="1">
        <f t="array" ref="E47">IF(DAY(AgoDom1)=1,"",IF(AND(YEAR(AgoDom1+3)=AñoCalendario,MONTH(AgoDom1+3)=8),AgoDom1+3,""))</f>
        <v>44411</v>
      </c>
      <c r="F47" s="14" cm="1">
        <f t="array" ref="F47">IF(DAY(AgoDom1)=1,"",IF(AND(YEAR(AgoDom1+4)=AñoCalendario,MONTH(AgoDom1+4)=8),AgoDom1+4,""))</f>
        <v>44412</v>
      </c>
      <c r="G47" s="14" cm="1">
        <f t="array" ref="G47">IF(DAY(AgoDom1)=1,"",IF(AND(YEAR(AgoDom1+5)=AñoCalendario,MONTH(AgoDom1+5)=8),AgoDom1+5,""))</f>
        <v>44413</v>
      </c>
      <c r="H47" s="14" cm="1">
        <f t="array" ref="H47">IF(DAY(AgoDom1)=1,"",IF(AND(YEAR(AgoDom1+6)=AñoCalendario,MONTH(AgoDom1+6)=8),AgoDom1+6,""))</f>
        <v>44414</v>
      </c>
      <c r="I47" s="14" cm="1">
        <f t="array" ref="I47">_xlfn.SINGLE(IF(DAY(AgoDom1)=1,IF(AND(YEAR(AgoDom1)=AñoCalendario,MONTH(AgoDom1)=8),AugSun1,""),IF(AND(YEAR(AgoDom1+7)=AñoCalendario,MONTH(AgoDom1+7)=8),AgoDom1+7,"")))</f>
        <v>44415</v>
      </c>
      <c r="J47" s="14" cm="1">
        <f t="array" ref="J47">IF(DAY(AgoDom1)=1,IF(AND(YEAR(AgoDom1+1)=AñoCalendario,MONTH(AgoDom1+1)=8),AgoDom1+1,""),IF(AND(YEAR(AgoDom1+8)=AñoCalendario,MONTH(AgoDom1+8)=8),AgoDom1+8,""))</f>
        <v>44416</v>
      </c>
      <c r="K47" s="14" cm="1">
        <f t="array" ref="K47">IF(DAY(AgoDom1)=1,IF(AND(YEAR(AgoDom1+2)=AñoCalendario,MONTH(AgoDom1+2)=8),AgoDom1+2,""),IF(AND(YEAR(AgoDom1+9)=AñoCalendario,MONTH(AgoDom1+9)=8),AgoDom1+9,""))</f>
        <v>44417</v>
      </c>
      <c r="L47" s="14" cm="1">
        <f t="array" ref="L47">IF(DAY(AgoDom1)=1,IF(AND(YEAR(AgoDom1+3)=AñoCalendario,MONTH(AgoDom1+3)=8),AgoDom1+3,""),IF(AND(YEAR(AgoDom1+10)=AñoCalendario,MONTH(AgoDom1+10)=8),AgoDom1+10,""))</f>
        <v>44418</v>
      </c>
      <c r="M47" s="14" cm="1">
        <f t="array" ref="M47">IF(DAY(AgoDom1)=1,IF(AND(YEAR(AgoDom1+4)=AñoCalendario,MONTH(AgoDom1+4)=8),AgoDom1+4,""),IF(AND(YEAR(AgoDom1+11)=AñoCalendario,MONTH(AgoDom1+11)=8),AgoDom1+11,""))</f>
        <v>44419</v>
      </c>
      <c r="N47" s="14" cm="1">
        <f t="array" ref="N47">IF(DAY(AgoDom1)=1,IF(AND(YEAR(AgoDom1+5)=AñoCalendario,MONTH(AgoDom1+5)=8),AgoDom1+5,""),IF(AND(YEAR(AgoDom1+12)=AñoCalendario,MONTH(AgoDom1+12)=8),AgoDom1+12,""))</f>
        <v>44420</v>
      </c>
      <c r="O47" s="14" cm="1">
        <f t="array" ref="O47">IF(DAY(AgoDom1)=1,IF(AND(YEAR(AgoDom1+6)=AñoCalendario,MONTH(AgoDom1+6)=8),AgoDom1+6,""),IF(AND(YEAR(AgoDom1+13)=AñoCalendario,MONTH(AgoDom1+13)=8),AgoDom1+13,""))</f>
        <v>44421</v>
      </c>
      <c r="P47" s="14" cm="1">
        <f t="array" ref="P47">IF(DAY(AgoDom1)=1,IF(AND(YEAR(AgoDom1+7)=AñoCalendario,MONTH(AgoDom1+7)=8),AgoDom1+7,""),IF(AND(YEAR(AgoDom1+14)=AñoCalendario,MONTH(AgoDom1+14)=8),AgoDom1+14,""))</f>
        <v>44422</v>
      </c>
      <c r="Q47" s="14" cm="1">
        <f t="array" ref="Q47">IF(DAY(AgoDom1)=1,IF(AND(YEAR(AgoDom1+8)=AñoCalendario,MONTH(AgoDom1+8)=8),AgoDom1+8,""),IF(AND(YEAR(AgoDom1+15)=AñoCalendario,MONTH(AgoDom1+15)=8),AgoDom1+15,""))</f>
        <v>44423</v>
      </c>
      <c r="R47" s="14" cm="1">
        <f t="array" ref="R47">IF(DAY(AgoDom1)=1,IF(AND(YEAR(AgoDom1+9)=AñoCalendario,MONTH(AgoDom1+9)=8),AgoDom1+9,""),IF(AND(YEAR(AgoDom1+16)=AñoCalendario,MONTH(AgoDom1+16)=8),AgoDom1+16,""))</f>
        <v>44424</v>
      </c>
      <c r="S47" s="14" cm="1">
        <f t="array" ref="S47">IF(DAY(AgoDom1)=1,IF(AND(YEAR(AgoDom1+10)=AñoCalendario,MONTH(AgoDom1+10)=8),AgoDom1+10,""),IF(AND(YEAR(AgoDom1+17)=AñoCalendario,MONTH(AgoDom1+17)=8),AgoDom1+17,""))</f>
        <v>44425</v>
      </c>
      <c r="T47" s="14" cm="1">
        <f t="array" ref="T47">IF(DAY(AgoDom1)=1,IF(AND(YEAR(AgoDom1+11)=AñoCalendario,MONTH(AgoDom1+11)=8),AgoDom1+11,""),IF(AND(YEAR(AgoDom1+18)=AñoCalendario,MONTH(AgoDom1+18)=8),AgoDom1+18,""))</f>
        <v>44426</v>
      </c>
      <c r="U47" s="14" cm="1">
        <f t="array" ref="U47">IF(DAY(AgoDom1)=1,IF(AND(YEAR(AgoDom1+12)=AñoCalendario,MONTH(AgoDom1+12)=8),AgoDom1+12,""),IF(AND(YEAR(AgoDom1+19)=AñoCalendario,MONTH(AgoDom1+19)=8),AgoDom1+19,""))</f>
        <v>44427</v>
      </c>
      <c r="V47" s="14" cm="1">
        <f t="array" ref="V47">IF(DAY(AgoDom1)=1,IF(AND(YEAR(AgoDom1+13)=AñoCalendario,MONTH(AgoDom1+13)=8),AgoDom1+13,""),IF(AND(YEAR(AgoDom1+20)=AñoCalendario,MONTH(AgoDom1+20)=8),AgoDom1+20,""))</f>
        <v>44428</v>
      </c>
      <c r="W47" s="14" cm="1">
        <f t="array" ref="W47">IF(DAY(AgoDom1)=1,IF(AND(YEAR(AgoDom1+14)=AñoCalendario,MONTH(AgoDom1+14)=8),AgoDom1+14,""),IF(AND(YEAR(AgoDom1+21)=AñoCalendario,MONTH(AgoDom1+21)=8),AgoDom1+21,""))</f>
        <v>44429</v>
      </c>
      <c r="X47" s="14" cm="1">
        <f t="array" ref="X47">IF(DAY(AgoDom1)=1,IF(AND(YEAR(AgoDom1+15)=AñoCalendario,MONTH(AgoDom1+15)=8),AgoDom1+15,""),IF(AND(YEAR(AgoDom1+22)=AñoCalendario,MONTH(AgoDom1+22)=8),AgoDom1+22,""))</f>
        <v>44430</v>
      </c>
      <c r="Y47" s="14" cm="1">
        <f t="array" ref="Y47">IF(DAY(AgoDom1)=1,IF(AND(YEAR(AgoDom1+16)=AñoCalendario,MONTH(AgoDom1+16)=8),AgoDom1+16,""),IF(AND(YEAR(AgoDom1+23)=AñoCalendario,MONTH(AgoDom1+23)=8),AgoDom1+23,""))</f>
        <v>44431</v>
      </c>
      <c r="Z47" s="14" cm="1">
        <f t="array" ref="Z47">IF(DAY(AgoDom1)=1,IF(AND(YEAR(AgoDom1+17)=AñoCalendario,MONTH(AgoDom1+17)=8),AgoDom1+17,""),IF(AND(YEAR(AgoDom1+24)=AñoCalendario,MONTH(AgoDom1+24)=8),AgoDom1+24,""))</f>
        <v>44432</v>
      </c>
      <c r="AA47" s="14" cm="1">
        <f t="array" ref="AA47">IF(DAY(AgoDom1)=1,IF(AND(YEAR(AgoDom1+18)=AñoCalendario,MONTH(AgoDom1+18)=8),AgoDom1+18,""),IF(AND(YEAR(AgoDom1+25)=AñoCalendario,MONTH(AgoDom1+25)=8),AgoDom1+25,""))</f>
        <v>44433</v>
      </c>
      <c r="AB47" s="14" cm="1">
        <f t="array" ref="AB47">IF(DAY(AgoDom1)=1,IF(AND(YEAR(AgoDom1+19)=AñoCalendario,MONTH(AgoDom1+19)=8),AgoDom1+19,""),IF(AND(YEAR(AgoDom1+26)=AñoCalendario,MONTH(AgoDom1+26)=8),AgoDom1+26,""))</f>
        <v>44434</v>
      </c>
      <c r="AC47" s="14" cm="1">
        <f t="array" ref="AC47">IF(DAY(AgoDom1)=1,IF(AND(YEAR(AgoDom1+20)=AñoCalendario,MONTH(AgoDom1+20)=8),AgoDom1+20,""),IF(AND(YEAR(AgoDom1+27)=AñoCalendario,MONTH(AgoDom1+27)=8),AgoDom1+27,""))</f>
        <v>44435</v>
      </c>
      <c r="AD47" s="14" cm="1">
        <f t="array" ref="AD47">IF(DAY(AgoDom1)=1,IF(AND(YEAR(AgoDom1+21)=AñoCalendario,MONTH(AgoDom1+21)=8),AgoDom1+21,""),IF(AND(YEAR(AgoDom1+28)=AñoCalendario,MONTH(AgoDom1+28)=8),AgoDom1+28,""))</f>
        <v>44436</v>
      </c>
      <c r="AE47" s="14" cm="1">
        <f t="array" ref="AE47">IF(DAY(AgoDom1)=1,IF(AND(YEAR(AgoDom1+22)=AñoCalendario,MONTH(AgoDom1+22)=8),AgoDom1+22,""),IF(AND(YEAR(AgoDom1+29)=AñoCalendario,MONTH(AgoDom1+29)=8),AgoDom1+29,""))</f>
        <v>44437</v>
      </c>
      <c r="AF47" s="14" cm="1">
        <f t="array" ref="AF47">IF(DAY(AgoDom1)=1,IF(AND(YEAR(AgoDom1+23)=AñoCalendario,MONTH(AgoDom1+23)=8),AgoDom1+23,""),IF(AND(YEAR(AgoDom1+30)=AñoCalendario,MONTH(AgoDom1+30)=8),AgoDom1+30,""))</f>
        <v>44438</v>
      </c>
      <c r="AG47" s="14" cm="1">
        <f t="array" ref="AG47">IF(DAY(AgoDom1)=1,IF(AND(YEAR(AgoDom1+24)=AñoCalendario,MONTH(AgoDom1+24)=8),AgoDom1+24,""),IF(AND(YEAR(AgoDom1+31)=AñoCalendario,MONTH(AgoDom1+31)=8),AgoDom1+31,""))</f>
        <v>44439</v>
      </c>
      <c r="AH47" s="14" t="str" cm="1">
        <f t="array" ref="AH47">IF(DAY(AgoDom1)=1,IF(AND(YEAR(AgoDom1+25)=AñoCalendario,MONTH(AgoDom1+25)=8),AgoDom1+25,""),IF(AND(YEAR(AgoDom1+32)=AñoCalendario,MONTH(AgoDom1+32)=8),AgoDom1+32,""))</f>
        <v/>
      </c>
      <c r="AI47" s="14" t="str" cm="1">
        <f t="array" ref="AI47">IF(DAY(AgoDom1)=1,IF(AND(YEAR(AgoDom1+26)=AñoCalendario,MONTH(AgoDom1+26)=8),AgoDom1+26,""),IF(AND(YEAR(AgoDom1+33)=AñoCalendario,MONTH(AgoDom1+33)=8),AgoDom1+33,""))</f>
        <v/>
      </c>
      <c r="AJ47" s="14" t="str" cm="1">
        <f t="array" ref="AJ47">IF(DAY(AgoDom1)=1,IF(AND(YEAR(AgoDom1+27)=AñoCalendario,MONTH(AgoDom1+27)=8),AgoDom1+27,""),IF(AND(YEAR(AgoDom1+34)=AñoCalendario,MONTH(AgoDom1+34)=8),AgoDom1+34,""))</f>
        <v/>
      </c>
      <c r="AK47" s="14" t="str" cm="1">
        <f t="array" ref="AK47">IF(DAY(AgoDom1)=1,IF(AND(YEAR(AgoDom1+28)=AñoCalendario,MONTH(AgoDom1+28)=8),AgoDom1+28,""),IF(AND(YEAR(AgoDom1+35)=AñoCalendario,MONTH(AgoDom1+35)=8),AgoDom1+35,""))</f>
        <v/>
      </c>
      <c r="AL47" s="14" t="str" cm="1">
        <f t="array" ref="AL47">IF(DAY(AgoDom1)=1,IF(AND(YEAR(AgoDom1+29)=AñoCalendario,MONTH(AgoDom1+29)=8),AgoDom1+29,""),IF(AND(YEAR(AgoDom1+36)=AñoCalendario,MONTH(AgoDom1+36)=8),AgoDom1+36,""))</f>
        <v/>
      </c>
      <c r="AM47" s="15" t="str" cm="1">
        <f t="array" ref="AM47">IF(DAY(AgoDom1)=1,IF(AND(YEAR(AgoDom1+30)=AñoCalendario,MONTH(AgoDom1+30)=8),AgoDom1+30,""),IF(AND(YEAR(AgoDom1+37)=AñoCalendario,MONTH(AgoDom1+37)=8),AgoDom1+37,""))</f>
        <v/>
      </c>
    </row>
    <row r="48" spans="2:39" s="12" customFormat="1" ht="18.899999999999999" customHeight="1" x14ac:dyDescent="0.35">
      <c r="B48" s="49"/>
      <c r="C48" s="13" t="s">
        <v>0</v>
      </c>
      <c r="D48" s="13" t="s">
        <v>1</v>
      </c>
      <c r="E48" s="13" t="s">
        <v>2</v>
      </c>
      <c r="F48" s="13" t="s">
        <v>3</v>
      </c>
      <c r="G48" s="13" t="s">
        <v>4</v>
      </c>
      <c r="H48" s="13" t="s">
        <v>5</v>
      </c>
      <c r="I48" s="13" t="s">
        <v>6</v>
      </c>
      <c r="J48" s="13" t="s">
        <v>0</v>
      </c>
      <c r="K48" s="13" t="s">
        <v>1</v>
      </c>
      <c r="L48" s="13" t="s">
        <v>2</v>
      </c>
      <c r="M48" s="13" t="s">
        <v>3</v>
      </c>
      <c r="N48" s="13" t="s">
        <v>4</v>
      </c>
      <c r="O48" s="13" t="s">
        <v>5</v>
      </c>
      <c r="P48" s="13" t="s">
        <v>6</v>
      </c>
      <c r="Q48" s="13" t="s">
        <v>0</v>
      </c>
      <c r="R48" s="13" t="s">
        <v>1</v>
      </c>
      <c r="S48" s="13" t="s">
        <v>2</v>
      </c>
      <c r="T48" s="13" t="s">
        <v>3</v>
      </c>
      <c r="U48" s="13" t="s">
        <v>4</v>
      </c>
      <c r="V48" s="13" t="s">
        <v>5</v>
      </c>
      <c r="W48" s="13" t="s">
        <v>6</v>
      </c>
      <c r="X48" s="13" t="s">
        <v>0</v>
      </c>
      <c r="Y48" s="13" t="s">
        <v>1</v>
      </c>
      <c r="Z48" s="13" t="s">
        <v>2</v>
      </c>
      <c r="AA48" s="13" t="s">
        <v>3</v>
      </c>
      <c r="AB48" s="13" t="s">
        <v>4</v>
      </c>
      <c r="AC48" s="13" t="s">
        <v>5</v>
      </c>
      <c r="AD48" s="13" t="s">
        <v>6</v>
      </c>
      <c r="AE48" s="13" t="s">
        <v>0</v>
      </c>
      <c r="AF48" s="13" t="s">
        <v>1</v>
      </c>
      <c r="AG48" s="13" t="s">
        <v>2</v>
      </c>
      <c r="AH48" s="13" t="s">
        <v>3</v>
      </c>
      <c r="AI48" s="13" t="s">
        <v>4</v>
      </c>
      <c r="AJ48" s="13" t="s">
        <v>5</v>
      </c>
      <c r="AK48" s="13" t="s">
        <v>6</v>
      </c>
      <c r="AL48" s="13" t="s">
        <v>0</v>
      </c>
      <c r="AM48" s="16" t="s">
        <v>1</v>
      </c>
    </row>
    <row r="49" spans="2:39" ht="18.899999999999999" customHeight="1" x14ac:dyDescent="0.35">
      <c r="B49" s="10" t="str">
        <f>IF(Trabajo1_Nombre="","",Trabajo1_Nombre)</f>
        <v>Trabajo 1</v>
      </c>
      <c r="C49" s="41" t="str">
        <f t="shared" ref="C49:AM49" si="21">IF(OR(NOT(ISNUMBER(C47)),C47&lt;_xlfn.SINGLE(Trabajo1_DíaInicio)),"",IF(MID(_xlfn.SINGLE(Trabajo1_Patrón),MOD(C47-_xlfn.SINGLE(Trabajo1_DíaInicio),LEN(_xlfn.SINGLE(Trabajo1_Patrón)))+1,1)=_xlfn.SINGLE(Trabajo1_Turno1_Código),1,IF(MID(_xlfn.SINGLE(Trabajo1_Patrón),MOD(C47-_xlfn.SINGLE(Trabajo1_DíaInicio),LEN(_xlfn.SINGLE(Trabajo1_Patrón)))+1,1)=_xlfn.SINGLE(Trabajo1_Turno2_Código),2,IF(MID(_xlfn.SINGLE(Trabajo1_Patrón),MOD(C47-_xlfn.SINGLE(Trabajo1_DíaInicio),LEN(_xlfn.SINGLE(Trabajo1_Patrón)))+1,1)=_xlfn.SINGLE(Trabajo1_Turno3_Código),3,""))))</f>
        <v/>
      </c>
      <c r="D49" s="41" t="str">
        <f t="shared" si="21"/>
        <v/>
      </c>
      <c r="E49" s="41">
        <f t="shared" si="21"/>
        <v>1</v>
      </c>
      <c r="F49" s="41">
        <f t="shared" si="21"/>
        <v>1</v>
      </c>
      <c r="G49" s="41">
        <f t="shared" si="21"/>
        <v>1</v>
      </c>
      <c r="H49" s="41">
        <f t="shared" si="21"/>
        <v>1</v>
      </c>
      <c r="I49" s="41" t="str">
        <f t="shared" si="21"/>
        <v/>
      </c>
      <c r="J49" s="41" t="str">
        <f t="shared" si="21"/>
        <v/>
      </c>
      <c r="K49" s="41">
        <f t="shared" si="21"/>
        <v>2</v>
      </c>
      <c r="L49" s="41">
        <f t="shared" si="21"/>
        <v>2</v>
      </c>
      <c r="M49" s="41">
        <f t="shared" si="21"/>
        <v>2</v>
      </c>
      <c r="N49" s="41">
        <f t="shared" si="21"/>
        <v>2</v>
      </c>
      <c r="O49" s="41" t="str">
        <f t="shared" si="21"/>
        <v/>
      </c>
      <c r="P49" s="41" t="str">
        <f t="shared" si="21"/>
        <v/>
      </c>
      <c r="Q49" s="41">
        <f t="shared" si="21"/>
        <v>1</v>
      </c>
      <c r="R49" s="41">
        <f t="shared" si="21"/>
        <v>1</v>
      </c>
      <c r="S49" s="41">
        <f t="shared" si="21"/>
        <v>1</v>
      </c>
      <c r="T49" s="41" t="str">
        <f t="shared" si="21"/>
        <v/>
      </c>
      <c r="U49" s="41">
        <f t="shared" si="21"/>
        <v>2</v>
      </c>
      <c r="V49" s="41">
        <f t="shared" si="21"/>
        <v>2</v>
      </c>
      <c r="W49" s="41">
        <f t="shared" si="21"/>
        <v>2</v>
      </c>
      <c r="X49" s="41" t="str">
        <f t="shared" si="21"/>
        <v/>
      </c>
      <c r="Y49" s="41" t="str">
        <f t="shared" si="21"/>
        <v/>
      </c>
      <c r="Z49" s="41" t="str">
        <f t="shared" si="21"/>
        <v/>
      </c>
      <c r="AA49" s="41">
        <f t="shared" si="21"/>
        <v>1</v>
      </c>
      <c r="AB49" s="41">
        <f t="shared" si="21"/>
        <v>1</v>
      </c>
      <c r="AC49" s="41" t="str">
        <f t="shared" si="21"/>
        <v/>
      </c>
      <c r="AD49" s="41">
        <f t="shared" si="21"/>
        <v>2</v>
      </c>
      <c r="AE49" s="41">
        <f t="shared" si="21"/>
        <v>2</v>
      </c>
      <c r="AF49" s="41" t="str">
        <f t="shared" si="21"/>
        <v/>
      </c>
      <c r="AG49" s="41" t="str">
        <f t="shared" si="21"/>
        <v/>
      </c>
      <c r="AH49" s="41" t="str">
        <f t="shared" si="21"/>
        <v/>
      </c>
      <c r="AI49" s="41" t="str">
        <f t="shared" si="21"/>
        <v/>
      </c>
      <c r="AJ49" s="41" t="str">
        <f t="shared" si="21"/>
        <v/>
      </c>
      <c r="AK49" s="41" t="str">
        <f t="shared" si="21"/>
        <v/>
      </c>
      <c r="AL49" s="41" t="str">
        <f t="shared" si="21"/>
        <v/>
      </c>
      <c r="AM49" s="41" t="str">
        <f t="shared" si="21"/>
        <v/>
      </c>
    </row>
    <row r="50" spans="2:39" ht="18.899999999999999" customHeight="1" x14ac:dyDescent="0.35">
      <c r="B50" s="11" t="str">
        <f>IF(Trabajo2_Nombre="","",Trabajo2_Nombre)</f>
        <v>Trabajo 2</v>
      </c>
      <c r="C50" s="42">
        <f t="shared" ref="C50:AM50" si="22">IF(OR(NOT(ISNUMBER(C47)),C47&lt;_xlfn.SINGLE(Trabajo2_DíaInicio)),"",IF(MID(_xlfn.SINGLE(Trabajo2_Patrón),MOD(C47-_xlfn.SINGLE(Trabajo2_DíaInicio),LEN(_xlfn.SINGLE(Trabajo2_Patrón)))+1,1)=_xlfn.SINGLE(Trabajo2_Turno1_Código),1,IF(MID(_xlfn.SINGLE(Trabajo2_Patrón),MOD(C47-_xlfn.SINGLE(Trabajo2_DíaInicio),LEN(_xlfn.SINGLE(Trabajo2_Patrón)))+1,1)=_xlfn.SINGLE(Trabajo2_Turno2_Código),2,IF(MID(_xlfn.SINGLE(Trabajo2_Patrón),MOD(C47-_xlfn.SINGLE(Trabajo2_DíaInicio),LEN(_xlfn.SINGLE(Trabajo2_Patrón)))+1,1)=_xlfn.SINGLE(Trabajo2_Turno3_Código),3,""))))</f>
        <v>1</v>
      </c>
      <c r="D50" s="42" t="str">
        <f t="shared" si="22"/>
        <v/>
      </c>
      <c r="E50" s="42" t="str">
        <f t="shared" si="22"/>
        <v/>
      </c>
      <c r="F50" s="42" t="str">
        <f t="shared" si="22"/>
        <v/>
      </c>
      <c r="G50" s="42">
        <f t="shared" si="22"/>
        <v>2</v>
      </c>
      <c r="H50" s="42">
        <f t="shared" si="22"/>
        <v>2</v>
      </c>
      <c r="I50" s="42" t="str">
        <f t="shared" si="22"/>
        <v/>
      </c>
      <c r="J50" s="42">
        <f t="shared" si="22"/>
        <v>1</v>
      </c>
      <c r="K50" s="42">
        <f t="shared" si="22"/>
        <v>1</v>
      </c>
      <c r="L50" s="42" t="str">
        <f t="shared" si="22"/>
        <v/>
      </c>
      <c r="M50" s="42" t="str">
        <f t="shared" si="22"/>
        <v/>
      </c>
      <c r="N50" s="42" t="str">
        <f t="shared" si="22"/>
        <v/>
      </c>
      <c r="O50" s="42">
        <f t="shared" si="22"/>
        <v>2</v>
      </c>
      <c r="P50" s="42">
        <f t="shared" si="22"/>
        <v>2</v>
      </c>
      <c r="Q50" s="42">
        <f t="shared" si="22"/>
        <v>2</v>
      </c>
      <c r="R50" s="42">
        <f t="shared" si="22"/>
        <v>2</v>
      </c>
      <c r="S50" s="42" t="str">
        <f t="shared" si="22"/>
        <v/>
      </c>
      <c r="T50" s="42" t="str">
        <f t="shared" si="22"/>
        <v/>
      </c>
      <c r="U50" s="42" t="str">
        <f t="shared" si="22"/>
        <v/>
      </c>
      <c r="V50" s="42" t="str">
        <f t="shared" si="22"/>
        <v/>
      </c>
      <c r="W50" s="42" t="str">
        <f t="shared" si="22"/>
        <v/>
      </c>
      <c r="X50" s="42">
        <f t="shared" si="22"/>
        <v>1</v>
      </c>
      <c r="Y50" s="42" t="str">
        <f t="shared" si="22"/>
        <v/>
      </c>
      <c r="Z50" s="42" t="str">
        <f t="shared" si="22"/>
        <v/>
      </c>
      <c r="AA50" s="42">
        <f t="shared" si="22"/>
        <v>2</v>
      </c>
      <c r="AB50" s="42">
        <f t="shared" si="22"/>
        <v>2</v>
      </c>
      <c r="AC50" s="42">
        <f t="shared" si="22"/>
        <v>2</v>
      </c>
      <c r="AD50" s="42" t="str">
        <f t="shared" si="22"/>
        <v/>
      </c>
      <c r="AE50" s="42" t="str">
        <f t="shared" si="22"/>
        <v/>
      </c>
      <c r="AF50" s="42">
        <f t="shared" si="22"/>
        <v>1</v>
      </c>
      <c r="AG50" s="42">
        <f t="shared" si="22"/>
        <v>1</v>
      </c>
      <c r="AH50" s="42" t="str">
        <f t="shared" si="22"/>
        <v/>
      </c>
      <c r="AI50" s="42" t="str">
        <f t="shared" si="22"/>
        <v/>
      </c>
      <c r="AJ50" s="42" t="str">
        <f t="shared" si="22"/>
        <v/>
      </c>
      <c r="AK50" s="42" t="str">
        <f t="shared" si="22"/>
        <v/>
      </c>
      <c r="AL50" s="42" t="str">
        <f t="shared" si="22"/>
        <v/>
      </c>
      <c r="AM50" s="42" t="str">
        <f t="shared" si="22"/>
        <v/>
      </c>
    </row>
    <row r="51" spans="2:39" ht="18.899999999999999" customHeight="1" x14ac:dyDescent="0.35">
      <c r="B51" s="11" t="str">
        <f>_xlfn.SINGLE(IF(_xlfn.SINGLE(Trabajo3_Nombre)="","",Trabajo3_Nombre))</f>
        <v>Trabajo 3</v>
      </c>
      <c r="C51" s="42">
        <f t="shared" ref="C51:AM51" si="23">IF(OR(NOT(ISNUMBER(C47)),C47&lt;_xlfn.SINGLE(Trabajo3_DíaInicio)),"",IF(MID(_xlfn.SINGLE(Trabajo3_Patrón),MOD(C47-_xlfn.SINGLE(Trabajo3_DíaInicio),LEN(_xlfn.SINGLE(Trabajo3_Patrón)))+1,1)=_xlfn.SINGLE(Trabajo3_Turno1_Código),1,IF(MID(_xlfn.SINGLE(Trabajo3_Patrón),MOD(C47-_xlfn.SINGLE(Trabajo3_DíaInicio),LEN(_xlfn.SINGLE(Trabajo3_Patrón)))+1,1)=_xlfn.SINGLE(Trabajo3_Turno2_Código),2,IF(MID(_xlfn.SINGLE(Trabajo3_Patrón),MOD(C47-_xlfn.SINGLE(Trabajo3_DíaInicio),LEN(_xlfn.SINGLE(Trabajo3_Patrón)))+1,1)=_xlfn.SINGLE(Trabajo3_Turno3_Código),3,""))))</f>
        <v>3</v>
      </c>
      <c r="D51" s="42" t="str">
        <f t="shared" si="23"/>
        <v/>
      </c>
      <c r="E51" s="42" t="str">
        <f t="shared" si="23"/>
        <v/>
      </c>
      <c r="F51" s="42" t="str">
        <f t="shared" si="23"/>
        <v/>
      </c>
      <c r="G51" s="42">
        <f t="shared" si="23"/>
        <v>3</v>
      </c>
      <c r="H51" s="42" t="str">
        <f t="shared" si="23"/>
        <v/>
      </c>
      <c r="I51" s="42" t="str">
        <f t="shared" si="23"/>
        <v/>
      </c>
      <c r="J51" s="42" t="str">
        <f t="shared" si="23"/>
        <v/>
      </c>
      <c r="K51" s="42" t="str">
        <f t="shared" si="23"/>
        <v/>
      </c>
      <c r="L51" s="42" t="str">
        <f t="shared" si="23"/>
        <v/>
      </c>
      <c r="M51" s="42" t="str">
        <f t="shared" si="23"/>
        <v/>
      </c>
      <c r="N51" s="42">
        <f t="shared" si="23"/>
        <v>3</v>
      </c>
      <c r="O51" s="42">
        <f t="shared" si="23"/>
        <v>3</v>
      </c>
      <c r="P51" s="42" t="str">
        <f t="shared" si="23"/>
        <v/>
      </c>
      <c r="Q51" s="42" t="str">
        <f t="shared" si="23"/>
        <v/>
      </c>
      <c r="R51" s="42" t="str">
        <f t="shared" si="23"/>
        <v/>
      </c>
      <c r="S51" s="42">
        <f t="shared" si="23"/>
        <v>3</v>
      </c>
      <c r="T51" s="42">
        <f t="shared" si="23"/>
        <v>3</v>
      </c>
      <c r="U51" s="42" t="str">
        <f t="shared" si="23"/>
        <v/>
      </c>
      <c r="V51" s="42" t="str">
        <f t="shared" si="23"/>
        <v/>
      </c>
      <c r="W51" s="42" t="str">
        <f t="shared" si="23"/>
        <v/>
      </c>
      <c r="X51" s="42" t="str">
        <f t="shared" si="23"/>
        <v/>
      </c>
      <c r="Y51" s="42">
        <f t="shared" si="23"/>
        <v>3</v>
      </c>
      <c r="Z51" s="42">
        <f t="shared" si="23"/>
        <v>3</v>
      </c>
      <c r="AA51" s="42" t="str">
        <f t="shared" si="23"/>
        <v/>
      </c>
      <c r="AB51" s="42" t="str">
        <f t="shared" si="23"/>
        <v/>
      </c>
      <c r="AC51" s="42" t="str">
        <f t="shared" si="23"/>
        <v/>
      </c>
      <c r="AD51" s="42" t="str">
        <f t="shared" si="23"/>
        <v/>
      </c>
      <c r="AE51" s="42">
        <f t="shared" si="23"/>
        <v>3</v>
      </c>
      <c r="AF51" s="42">
        <f t="shared" si="23"/>
        <v>3</v>
      </c>
      <c r="AG51" s="42">
        <f t="shared" si="23"/>
        <v>3</v>
      </c>
      <c r="AH51" s="42" t="str">
        <f t="shared" si="23"/>
        <v/>
      </c>
      <c r="AI51" s="42" t="str">
        <f t="shared" si="23"/>
        <v/>
      </c>
      <c r="AJ51" s="42" t="str">
        <f t="shared" si="23"/>
        <v/>
      </c>
      <c r="AK51" s="42" t="str">
        <f t="shared" si="23"/>
        <v/>
      </c>
      <c r="AL51" s="42" t="str">
        <f t="shared" si="23"/>
        <v/>
      </c>
      <c r="AM51" s="42" t="str">
        <f t="shared" si="23"/>
        <v/>
      </c>
    </row>
    <row r="52" spans="2:39" ht="12" customHeight="1" x14ac:dyDescent="0.35"/>
    <row r="53" spans="2:39" s="12" customFormat="1" ht="18.899999999999999" customHeight="1" x14ac:dyDescent="0.35">
      <c r="B53" s="48">
        <f>DATE(AñoCalendario,9,1)</f>
        <v>44440</v>
      </c>
      <c r="C53" s="14" t="str" cm="1">
        <f t="array" ref="C53">IF(DAY(SepDom1)=1,"",IF(AND(YEAR(SepDom1+1)=AñoCalendario,MONTH(SepDom1+1)=9),SepDom1+1,""))</f>
        <v/>
      </c>
      <c r="D53" s="14" t="str" cm="1">
        <f t="array" ref="D53">IF(DAY(SepDom1)=1,"",IF(AND(YEAR(SepDom1+2)=AñoCalendario,MONTH(SepDom1+2)=9),SepDom1+2,""))</f>
        <v/>
      </c>
      <c r="E53" s="14" t="str" cm="1">
        <f t="array" ref="E53">IF(DAY(SepDom1)=1,"",IF(AND(YEAR(SepDom1+3)=AñoCalendario,MONTH(SepDom1+3)=9),SepDom1+3,""))</f>
        <v/>
      </c>
      <c r="F53" s="14" cm="1">
        <f t="array" ref="F53">IF(DAY(SepDom1)=1,"",IF(AND(YEAR(SepDom1+4)=AñoCalendario,MONTH(SepDom1+4)=9),SepDom1+4,""))</f>
        <v>44440</v>
      </c>
      <c r="G53" s="14" cm="1">
        <f t="array" ref="G53">IF(DAY(SepDom1)=1,"",IF(AND(YEAR(SepDom1+5)=AñoCalendario,MONTH(SepDom1+5)=9),SepDom1+5,""))</f>
        <v>44441</v>
      </c>
      <c r="H53" s="14" cm="1">
        <f t="array" ref="H53">IF(DAY(SepDom1)=1,"",IF(AND(YEAR(SepDom1+6)=AñoCalendario,MONTH(SepDom1+6)=9),SepDom1+6,""))</f>
        <v>44442</v>
      </c>
      <c r="I53" s="14" cm="1">
        <f t="array" ref="I53">_xlfn.SINGLE(IF(DAY(SepDom1)=1,IF(AND(YEAR(SepDom1)=AñoCalendario,MONTH(SepDom1)=9),SepSun1,""),IF(AND(YEAR(SepDom1+7)=AñoCalendario,MONTH(SepDom1+7)=9),SepDom1+7,"")))</f>
        <v>44443</v>
      </c>
      <c r="J53" s="14" cm="1">
        <f t="array" ref="J53">IF(DAY(SepDom1)=1,IF(AND(YEAR(SepDom1+1)=AñoCalendario,MONTH(SepDom1+1)=9),SepDom1+1,""),IF(AND(YEAR(SepDom1+8)=AñoCalendario,MONTH(SepDom1+8)=9),SepDom1+8,""))</f>
        <v>44444</v>
      </c>
      <c r="K53" s="14" cm="1">
        <f t="array" ref="K53">IF(DAY(SepDom1)=1,IF(AND(YEAR(SepDom1+2)=AñoCalendario,MONTH(SepDom1+2)=9),SepDom1+2,""),IF(AND(YEAR(SepDom1+9)=AñoCalendario,MONTH(SepDom1+9)=9),SepDom1+9,""))</f>
        <v>44445</v>
      </c>
      <c r="L53" s="14" cm="1">
        <f t="array" ref="L53">IF(DAY(SepDom1)=1,IF(AND(YEAR(SepDom1+3)=AñoCalendario,MONTH(SepDom1+3)=9),SepDom1+3,""),IF(AND(YEAR(SepDom1+10)=AñoCalendario,MONTH(SepDom1+10)=9),SepDom1+10,""))</f>
        <v>44446</v>
      </c>
      <c r="M53" s="14" cm="1">
        <f t="array" ref="M53">IF(DAY(SepDom1)=1,IF(AND(YEAR(SepDom1+4)=AñoCalendario,MONTH(SepDom1+4)=9),SepDom1+4,""),IF(AND(YEAR(SepDom1+11)=AñoCalendario,MONTH(SepDom1+11)=9),SepDom1+11,""))</f>
        <v>44447</v>
      </c>
      <c r="N53" s="14" cm="1">
        <f t="array" ref="N53">IF(DAY(SepDom1)=1,IF(AND(YEAR(SepDom1+5)=AñoCalendario,MONTH(SepDom1+5)=9),SepDom1+5,""),IF(AND(YEAR(SepDom1+12)=AñoCalendario,MONTH(SepDom1+12)=9),SepDom1+12,""))</f>
        <v>44448</v>
      </c>
      <c r="O53" s="14" cm="1">
        <f t="array" ref="O53">IF(DAY(SepDom1)=1,IF(AND(YEAR(SepDom1+6)=AñoCalendario,MONTH(SepDom1+6)=9),SepDom1+6,""),IF(AND(YEAR(SepDom1+13)=AñoCalendario,MONTH(SepDom1+13)=9),SepDom1+13,""))</f>
        <v>44449</v>
      </c>
      <c r="P53" s="14" cm="1">
        <f t="array" ref="P53">IF(DAY(SepDom1)=1,IF(AND(YEAR(SepDom1+7)=AñoCalendario,MONTH(SepDom1+7)=9),SepDom1+7,""),IF(AND(YEAR(SepDom1+14)=AñoCalendario,MONTH(SepDom1+14)=9),SepDom1+14,""))</f>
        <v>44450</v>
      </c>
      <c r="Q53" s="14" cm="1">
        <f t="array" ref="Q53">IF(DAY(SepDom1)=1,IF(AND(YEAR(SepDom1+8)=AñoCalendario,MONTH(SepDom1+8)=9),SepDom1+8,""),IF(AND(YEAR(SepDom1+15)=AñoCalendario,MONTH(SepDom1+15)=9),SepDom1+15,""))</f>
        <v>44451</v>
      </c>
      <c r="R53" s="14" cm="1">
        <f t="array" ref="R53">IF(DAY(SepDom1)=1,IF(AND(YEAR(SepDom1+9)=AñoCalendario,MONTH(SepDom1+9)=9),SepDom1+9,""),IF(AND(YEAR(SepDom1+16)=AñoCalendario,MONTH(SepDom1+16)=9),SepDom1+16,""))</f>
        <v>44452</v>
      </c>
      <c r="S53" s="14" cm="1">
        <f t="array" ref="S53">IF(DAY(SepDom1)=1,IF(AND(YEAR(SepDom1+10)=AñoCalendario,MONTH(SepDom1+10)=9),SepDom1+10,""),IF(AND(YEAR(SepDom1+17)=AñoCalendario,MONTH(SepDom1+17)=9),SepDom1+17,""))</f>
        <v>44453</v>
      </c>
      <c r="T53" s="14" cm="1">
        <f t="array" ref="T53">IF(DAY(SepDom1)=1,IF(AND(YEAR(SepDom1+11)=AñoCalendario,MONTH(SepDom1+11)=9),SepDom1+11,""),IF(AND(YEAR(SepDom1+18)=AñoCalendario,MONTH(SepDom1+18)=9),SepDom1+18,""))</f>
        <v>44454</v>
      </c>
      <c r="U53" s="14" cm="1">
        <f t="array" ref="U53">IF(DAY(SepDom1)=1,IF(AND(YEAR(SepDom1+12)=AñoCalendario,MONTH(SepDom1+12)=9),SepDom1+12,""),IF(AND(YEAR(SepDom1+19)=AñoCalendario,MONTH(SepDom1+19)=9),SepDom1+19,""))</f>
        <v>44455</v>
      </c>
      <c r="V53" s="14" cm="1">
        <f t="array" ref="V53">IF(DAY(SepDom1)=1,IF(AND(YEAR(SepDom1+13)=AñoCalendario,MONTH(SepDom1+13)=9),SepDom1+13,""),IF(AND(YEAR(SepDom1+20)=AñoCalendario,MONTH(SepDom1+20)=9),SepDom1+20,""))</f>
        <v>44456</v>
      </c>
      <c r="W53" s="14" cm="1">
        <f t="array" ref="W53">IF(DAY(SepDom1)=1,IF(AND(YEAR(SepDom1+14)=AñoCalendario,MONTH(SepDom1+14)=9),SepDom1+14,""),IF(AND(YEAR(SepDom1+21)=AñoCalendario,MONTH(SepDom1+21)=9),SepDom1+21,""))</f>
        <v>44457</v>
      </c>
      <c r="X53" s="14" cm="1">
        <f t="array" ref="X53">IF(DAY(SepDom1)=1,IF(AND(YEAR(SepDom1+15)=AñoCalendario,MONTH(SepDom1+15)=9),SepDom1+15,""),IF(AND(YEAR(SepDom1+22)=AñoCalendario,MONTH(SepDom1+22)=9),SepDom1+22,""))</f>
        <v>44458</v>
      </c>
      <c r="Y53" s="14" cm="1">
        <f t="array" ref="Y53">IF(DAY(SepDom1)=1,IF(AND(YEAR(SepDom1+16)=AñoCalendario,MONTH(SepDom1+16)=9),SepDom1+16,""),IF(AND(YEAR(SepDom1+23)=AñoCalendario,MONTH(SepDom1+23)=9),SepDom1+23,""))</f>
        <v>44459</v>
      </c>
      <c r="Z53" s="14" cm="1">
        <f t="array" ref="Z53">IF(DAY(SepDom1)=1,IF(AND(YEAR(SepDom1+17)=AñoCalendario,MONTH(SepDom1+17)=9),SepDom1+17,""),IF(AND(YEAR(SepDom1+24)=AñoCalendario,MONTH(SepDom1+24)=9),SepDom1+24,""))</f>
        <v>44460</v>
      </c>
      <c r="AA53" s="14" cm="1">
        <f t="array" ref="AA53">IF(DAY(SepDom1)=1,IF(AND(YEAR(SepDom1+18)=AñoCalendario,MONTH(SepDom1+18)=9),SepDom1+18,""),IF(AND(YEAR(SepDom1+25)=AñoCalendario,MONTH(SepDom1+25)=9),SepDom1+25,""))</f>
        <v>44461</v>
      </c>
      <c r="AB53" s="14" cm="1">
        <f t="array" ref="AB53">IF(DAY(SepDom1)=1,IF(AND(YEAR(SepDom1+19)=AñoCalendario,MONTH(SepDom1+19)=9),SepDom1+19,""),IF(AND(YEAR(SepDom1+26)=AñoCalendario,MONTH(SepDom1+26)=9),SepDom1+26,""))</f>
        <v>44462</v>
      </c>
      <c r="AC53" s="14" cm="1">
        <f t="array" ref="AC53">IF(DAY(SepDom1)=1,IF(AND(YEAR(SepDom1+20)=AñoCalendario,MONTH(SepDom1+20)=9),SepDom1+20,""),IF(AND(YEAR(SepDom1+27)=AñoCalendario,MONTH(SepDom1+27)=9),SepDom1+27,""))</f>
        <v>44463</v>
      </c>
      <c r="AD53" s="14" cm="1">
        <f t="array" ref="AD53">IF(DAY(SepDom1)=1,IF(AND(YEAR(SepDom1+21)=AñoCalendario,MONTH(SepDom1+21)=9),SepDom1+21,""),IF(AND(YEAR(SepDom1+28)=AñoCalendario,MONTH(SepDom1+28)=9),SepDom1+28,""))</f>
        <v>44464</v>
      </c>
      <c r="AE53" s="14" cm="1">
        <f t="array" ref="AE53">IF(DAY(SepDom1)=1,IF(AND(YEAR(SepDom1+22)=AñoCalendario,MONTH(SepDom1+22)=9),SepDom1+22,""),IF(AND(YEAR(SepDom1+29)=AñoCalendario,MONTH(SepDom1+29)=9),SepDom1+29,""))</f>
        <v>44465</v>
      </c>
      <c r="AF53" s="14" cm="1">
        <f t="array" ref="AF53">IF(DAY(SepDom1)=1,IF(AND(YEAR(SepDom1+23)=AñoCalendario,MONTH(SepDom1+23)=9),SepDom1+23,""),IF(AND(YEAR(SepDom1+30)=AñoCalendario,MONTH(SepDom1+30)=9),SepDom1+30,""))</f>
        <v>44466</v>
      </c>
      <c r="AG53" s="14" cm="1">
        <f t="array" ref="AG53">IF(DAY(SepDom1)=1,IF(AND(YEAR(SepDom1+24)=AñoCalendario,MONTH(SepDom1+24)=9),SepDom1+24,""),IF(AND(YEAR(SepDom1+31)=AñoCalendario,MONTH(SepDom1+31)=9),SepDom1+31,""))</f>
        <v>44467</v>
      </c>
      <c r="AH53" s="14" cm="1">
        <f t="array" ref="AH53">IF(DAY(SepDom1)=1,IF(AND(YEAR(SepDom1+25)=AñoCalendario,MONTH(SepDom1+25)=9),SepDom1+25,""),IF(AND(YEAR(SepDom1+32)=AñoCalendario,MONTH(SepDom1+32)=9),SepDom1+32,""))</f>
        <v>44468</v>
      </c>
      <c r="AI53" s="14" cm="1">
        <f t="array" ref="AI53">IF(DAY(SepDom1)=1,IF(AND(YEAR(SepDom1+26)=AñoCalendario,MONTH(SepDom1+26)=9),SepDom1+26,""),IF(AND(YEAR(SepDom1+33)=AñoCalendario,MONTH(SepDom1+33)=9),SepDom1+33,""))</f>
        <v>44469</v>
      </c>
      <c r="AJ53" s="14" t="str" cm="1">
        <f t="array" ref="AJ53">IF(DAY(SepDom1)=1,IF(AND(YEAR(SepDom1+27)=AñoCalendario,MONTH(SepDom1+27)=9),SepDom1+27,""),IF(AND(YEAR(SepDom1+34)=AñoCalendario,MONTH(SepDom1+34)=9),SepDom1+34,""))</f>
        <v/>
      </c>
      <c r="AK53" s="14" t="str" cm="1">
        <f t="array" ref="AK53">IF(DAY(SepDom1)=1,IF(AND(YEAR(SepDom1+28)=AñoCalendario,MONTH(SepDom1+28)=9),SepDom1+28,""),IF(AND(YEAR(SepDom1+35)=AñoCalendario,MONTH(SepDom1+35)=9),SepDom1+35,""))</f>
        <v/>
      </c>
      <c r="AL53" s="14" t="str" cm="1">
        <f t="array" ref="AL53">IF(DAY(SepDom1)=1,IF(AND(YEAR(SepDom1+29)=AñoCalendario,MONTH(SepDom1+29)=9),SepDom1+29,""),IF(AND(YEAR(SepDom1+36)=AñoCalendario,MONTH(SepDom1+36)=9),SepDom1+36,""))</f>
        <v/>
      </c>
      <c r="AM53" s="15" t="str" cm="1">
        <f t="array" ref="AM53">IF(DAY(SepDom1)=1,IF(AND(YEAR(SepDom1+30)=AñoCalendario,MONTH(SepDom1+30)=9),SepDom1+30,""),IF(AND(YEAR(SepDom1+37)=AñoCalendario,MONTH(SepDom1+37)=9),SepDom1+37,""))</f>
        <v/>
      </c>
    </row>
    <row r="54" spans="2:39" s="12" customFormat="1" ht="18.899999999999999" customHeight="1" x14ac:dyDescent="0.35">
      <c r="B54" s="49"/>
      <c r="C54" s="13" t="s">
        <v>0</v>
      </c>
      <c r="D54" s="13" t="s">
        <v>1</v>
      </c>
      <c r="E54" s="13" t="s">
        <v>2</v>
      </c>
      <c r="F54" s="13" t="s">
        <v>3</v>
      </c>
      <c r="G54" s="13" t="s">
        <v>4</v>
      </c>
      <c r="H54" s="13" t="s">
        <v>5</v>
      </c>
      <c r="I54" s="13" t="s">
        <v>6</v>
      </c>
      <c r="J54" s="13" t="s">
        <v>0</v>
      </c>
      <c r="K54" s="13" t="s">
        <v>1</v>
      </c>
      <c r="L54" s="13" t="s">
        <v>2</v>
      </c>
      <c r="M54" s="13" t="s">
        <v>3</v>
      </c>
      <c r="N54" s="13" t="s">
        <v>4</v>
      </c>
      <c r="O54" s="13" t="s">
        <v>5</v>
      </c>
      <c r="P54" s="13" t="s">
        <v>6</v>
      </c>
      <c r="Q54" s="13" t="s">
        <v>0</v>
      </c>
      <c r="R54" s="13" t="s">
        <v>1</v>
      </c>
      <c r="S54" s="13" t="s">
        <v>2</v>
      </c>
      <c r="T54" s="13" t="s">
        <v>3</v>
      </c>
      <c r="U54" s="13" t="s">
        <v>4</v>
      </c>
      <c r="V54" s="13" t="s">
        <v>5</v>
      </c>
      <c r="W54" s="13" t="s">
        <v>6</v>
      </c>
      <c r="X54" s="13" t="s">
        <v>0</v>
      </c>
      <c r="Y54" s="13" t="s">
        <v>1</v>
      </c>
      <c r="Z54" s="13" t="s">
        <v>2</v>
      </c>
      <c r="AA54" s="13" t="s">
        <v>3</v>
      </c>
      <c r="AB54" s="13" t="s">
        <v>4</v>
      </c>
      <c r="AC54" s="13" t="s">
        <v>5</v>
      </c>
      <c r="AD54" s="13" t="s">
        <v>6</v>
      </c>
      <c r="AE54" s="13" t="s">
        <v>0</v>
      </c>
      <c r="AF54" s="13" t="s">
        <v>1</v>
      </c>
      <c r="AG54" s="13" t="s">
        <v>2</v>
      </c>
      <c r="AH54" s="13" t="s">
        <v>3</v>
      </c>
      <c r="AI54" s="13" t="s">
        <v>4</v>
      </c>
      <c r="AJ54" s="13" t="s">
        <v>5</v>
      </c>
      <c r="AK54" s="13" t="s">
        <v>6</v>
      </c>
      <c r="AL54" s="13" t="s">
        <v>0</v>
      </c>
      <c r="AM54" s="16" t="s">
        <v>1</v>
      </c>
    </row>
    <row r="55" spans="2:39" ht="18.899999999999999" customHeight="1" x14ac:dyDescent="0.35">
      <c r="B55" s="10" t="str">
        <f>IF(Trabajo1_Nombre="","",Trabajo1_Nombre)</f>
        <v>Trabajo 1</v>
      </c>
      <c r="C55" s="41" t="str">
        <f t="shared" ref="C55:AM55" si="24">IF(OR(NOT(ISNUMBER(C53)),C53&lt;_xlfn.SINGLE(Trabajo1_DíaInicio)),"",IF(MID(_xlfn.SINGLE(Trabajo1_Patrón),MOD(C53-_xlfn.SINGLE(Trabajo1_DíaInicio),LEN(_xlfn.SINGLE(Trabajo1_Patrón)))+1,1)=_xlfn.SINGLE(Trabajo1_Turno1_Código),1,IF(MID(_xlfn.SINGLE(Trabajo1_Patrón),MOD(C53-_xlfn.SINGLE(Trabajo1_DíaInicio),LEN(_xlfn.SINGLE(Trabajo1_Patrón)))+1,1)=_xlfn.SINGLE(Trabajo1_Turno2_Código),2,IF(MID(_xlfn.SINGLE(Trabajo1_Patrón),MOD(C53-_xlfn.SINGLE(Trabajo1_DíaInicio),LEN(_xlfn.SINGLE(Trabajo1_Patrón)))+1,1)=_xlfn.SINGLE(Trabajo1_Turno3_Código),3,""))))</f>
        <v/>
      </c>
      <c r="D55" s="41" t="str">
        <f t="shared" si="24"/>
        <v/>
      </c>
      <c r="E55" s="41" t="str">
        <f t="shared" si="24"/>
        <v/>
      </c>
      <c r="F55" s="41" t="str">
        <f t="shared" si="24"/>
        <v/>
      </c>
      <c r="G55" s="41">
        <f t="shared" si="24"/>
        <v>1</v>
      </c>
      <c r="H55" s="41">
        <f t="shared" si="24"/>
        <v>1</v>
      </c>
      <c r="I55" s="41">
        <f t="shared" si="24"/>
        <v>1</v>
      </c>
      <c r="J55" s="41">
        <f t="shared" si="24"/>
        <v>1</v>
      </c>
      <c r="K55" s="41" t="str">
        <f t="shared" si="24"/>
        <v/>
      </c>
      <c r="L55" s="41" t="str">
        <f t="shared" si="24"/>
        <v/>
      </c>
      <c r="M55" s="41">
        <f t="shared" si="24"/>
        <v>2</v>
      </c>
      <c r="N55" s="41">
        <f t="shared" si="24"/>
        <v>2</v>
      </c>
      <c r="O55" s="41">
        <f t="shared" si="24"/>
        <v>2</v>
      </c>
      <c r="P55" s="41">
        <f t="shared" si="24"/>
        <v>2</v>
      </c>
      <c r="Q55" s="41" t="str">
        <f t="shared" si="24"/>
        <v/>
      </c>
      <c r="R55" s="41" t="str">
        <f t="shared" si="24"/>
        <v/>
      </c>
      <c r="S55" s="41">
        <f t="shared" si="24"/>
        <v>1</v>
      </c>
      <c r="T55" s="41">
        <f t="shared" si="24"/>
        <v>1</v>
      </c>
      <c r="U55" s="41">
        <f t="shared" si="24"/>
        <v>1</v>
      </c>
      <c r="V55" s="41" t="str">
        <f t="shared" si="24"/>
        <v/>
      </c>
      <c r="W55" s="41">
        <f t="shared" si="24"/>
        <v>2</v>
      </c>
      <c r="X55" s="41">
        <f t="shared" si="24"/>
        <v>2</v>
      </c>
      <c r="Y55" s="41">
        <f t="shared" si="24"/>
        <v>2</v>
      </c>
      <c r="Z55" s="41" t="str">
        <f t="shared" si="24"/>
        <v/>
      </c>
      <c r="AA55" s="41" t="str">
        <f t="shared" si="24"/>
        <v/>
      </c>
      <c r="AB55" s="41" t="str">
        <f t="shared" si="24"/>
        <v/>
      </c>
      <c r="AC55" s="41">
        <f t="shared" si="24"/>
        <v>1</v>
      </c>
      <c r="AD55" s="41">
        <f t="shared" si="24"/>
        <v>1</v>
      </c>
      <c r="AE55" s="41" t="str">
        <f t="shared" si="24"/>
        <v/>
      </c>
      <c r="AF55" s="41">
        <f t="shared" si="24"/>
        <v>2</v>
      </c>
      <c r="AG55" s="41">
        <f t="shared" si="24"/>
        <v>2</v>
      </c>
      <c r="AH55" s="41" t="str">
        <f t="shared" si="24"/>
        <v/>
      </c>
      <c r="AI55" s="41" t="str">
        <f t="shared" si="24"/>
        <v/>
      </c>
      <c r="AJ55" s="41" t="str">
        <f t="shared" si="24"/>
        <v/>
      </c>
      <c r="AK55" s="41" t="str">
        <f t="shared" si="24"/>
        <v/>
      </c>
      <c r="AL55" s="41" t="str">
        <f t="shared" si="24"/>
        <v/>
      </c>
      <c r="AM55" s="41" t="str">
        <f t="shared" si="24"/>
        <v/>
      </c>
    </row>
    <row r="56" spans="2:39" ht="18.899999999999999" customHeight="1" x14ac:dyDescent="0.35">
      <c r="B56" s="11" t="str">
        <f>IF(Trabajo2_Nombre="","",Trabajo2_Nombre)</f>
        <v>Trabajo 2</v>
      </c>
      <c r="C56" s="42" t="str">
        <f t="shared" ref="C56:AM56" si="25">IF(OR(NOT(ISNUMBER(C53)),C53&lt;_xlfn.SINGLE(Trabajo2_DíaInicio)),"",IF(MID(_xlfn.SINGLE(Trabajo2_Patrón),MOD(C53-_xlfn.SINGLE(Trabajo2_DíaInicio),LEN(_xlfn.SINGLE(Trabajo2_Patrón)))+1,1)=_xlfn.SINGLE(Trabajo2_Turno1_Código),1,IF(MID(_xlfn.SINGLE(Trabajo2_Patrón),MOD(C53-_xlfn.SINGLE(Trabajo2_DíaInicio),LEN(_xlfn.SINGLE(Trabajo2_Patrón)))+1,1)=_xlfn.SINGLE(Trabajo2_Turno2_Código),2,IF(MID(_xlfn.SINGLE(Trabajo2_Patrón),MOD(C53-_xlfn.SINGLE(Trabajo2_DíaInicio),LEN(_xlfn.SINGLE(Trabajo2_Patrón)))+1,1)=_xlfn.SINGLE(Trabajo2_Turno3_Código),3,""))))</f>
        <v/>
      </c>
      <c r="D56" s="42" t="str">
        <f t="shared" si="25"/>
        <v/>
      </c>
      <c r="E56" s="42" t="str">
        <f t="shared" si="25"/>
        <v/>
      </c>
      <c r="F56" s="42" t="str">
        <f t="shared" si="25"/>
        <v/>
      </c>
      <c r="G56" s="42" t="str">
        <f t="shared" si="25"/>
        <v/>
      </c>
      <c r="H56" s="42" t="str">
        <f t="shared" si="25"/>
        <v/>
      </c>
      <c r="I56" s="42">
        <f t="shared" si="25"/>
        <v>2</v>
      </c>
      <c r="J56" s="42">
        <f t="shared" si="25"/>
        <v>2</v>
      </c>
      <c r="K56" s="42" t="str">
        <f t="shared" si="25"/>
        <v/>
      </c>
      <c r="L56" s="42">
        <f t="shared" si="25"/>
        <v>1</v>
      </c>
      <c r="M56" s="42">
        <f t="shared" si="25"/>
        <v>1</v>
      </c>
      <c r="N56" s="42" t="str">
        <f t="shared" si="25"/>
        <v/>
      </c>
      <c r="O56" s="42" t="str">
        <f t="shared" si="25"/>
        <v/>
      </c>
      <c r="P56" s="42" t="str">
        <f t="shared" si="25"/>
        <v/>
      </c>
      <c r="Q56" s="42">
        <f t="shared" si="25"/>
        <v>2</v>
      </c>
      <c r="R56" s="42">
        <f t="shared" si="25"/>
        <v>2</v>
      </c>
      <c r="S56" s="42">
        <f t="shared" si="25"/>
        <v>2</v>
      </c>
      <c r="T56" s="42">
        <f t="shared" si="25"/>
        <v>2</v>
      </c>
      <c r="U56" s="42" t="str">
        <f t="shared" si="25"/>
        <v/>
      </c>
      <c r="V56" s="42" t="str">
        <f t="shared" si="25"/>
        <v/>
      </c>
      <c r="W56" s="42" t="str">
        <f t="shared" si="25"/>
        <v/>
      </c>
      <c r="X56" s="42" t="str">
        <f t="shared" si="25"/>
        <v/>
      </c>
      <c r="Y56" s="42" t="str">
        <f t="shared" si="25"/>
        <v/>
      </c>
      <c r="Z56" s="42">
        <f t="shared" si="25"/>
        <v>1</v>
      </c>
      <c r="AA56" s="42" t="str">
        <f t="shared" si="25"/>
        <v/>
      </c>
      <c r="AB56" s="42" t="str">
        <f t="shared" si="25"/>
        <v/>
      </c>
      <c r="AC56" s="42">
        <f t="shared" si="25"/>
        <v>2</v>
      </c>
      <c r="AD56" s="42">
        <f t="shared" si="25"/>
        <v>2</v>
      </c>
      <c r="AE56" s="42">
        <f t="shared" si="25"/>
        <v>2</v>
      </c>
      <c r="AF56" s="42" t="str">
        <f t="shared" si="25"/>
        <v/>
      </c>
      <c r="AG56" s="42" t="str">
        <f t="shared" si="25"/>
        <v/>
      </c>
      <c r="AH56" s="42">
        <f t="shared" si="25"/>
        <v>1</v>
      </c>
      <c r="AI56" s="42">
        <f t="shared" si="25"/>
        <v>1</v>
      </c>
      <c r="AJ56" s="42" t="str">
        <f t="shared" si="25"/>
        <v/>
      </c>
      <c r="AK56" s="42" t="str">
        <f t="shared" si="25"/>
        <v/>
      </c>
      <c r="AL56" s="42" t="str">
        <f t="shared" si="25"/>
        <v/>
      </c>
      <c r="AM56" s="42" t="str">
        <f t="shared" si="25"/>
        <v/>
      </c>
    </row>
    <row r="57" spans="2:39" ht="18.899999999999999" customHeight="1" x14ac:dyDescent="0.35">
      <c r="B57" s="11" t="str">
        <f>_xlfn.SINGLE(IF(_xlfn.SINGLE(Trabajo3_Nombre)="","",Trabajo3_Nombre))</f>
        <v>Trabajo 3</v>
      </c>
      <c r="C57" s="42" t="str">
        <f t="shared" ref="C57:AM57" si="26">IF(OR(NOT(ISNUMBER(C53)),C53&lt;_xlfn.SINGLE(Trabajo3_DíaInicio)),"",IF(MID(_xlfn.SINGLE(Trabajo3_Patrón),MOD(C53-_xlfn.SINGLE(Trabajo3_DíaInicio),LEN(_xlfn.SINGLE(Trabajo3_Patrón)))+1,1)=_xlfn.SINGLE(Trabajo3_Turno1_Código),1,IF(MID(_xlfn.SINGLE(Trabajo3_Patrón),MOD(C53-_xlfn.SINGLE(Trabajo3_DíaInicio),LEN(_xlfn.SINGLE(Trabajo3_Patrón)))+1,1)=_xlfn.SINGLE(Trabajo3_Turno2_Código),2,IF(MID(_xlfn.SINGLE(Trabajo3_Patrón),MOD(C53-_xlfn.SINGLE(Trabajo3_DíaInicio),LEN(_xlfn.SINGLE(Trabajo3_Patrón)))+1,1)=_xlfn.SINGLE(Trabajo3_Turno3_Código),3,""))))</f>
        <v/>
      </c>
      <c r="D57" s="42" t="str">
        <f t="shared" si="26"/>
        <v/>
      </c>
      <c r="E57" s="42" t="str">
        <f t="shared" si="26"/>
        <v/>
      </c>
      <c r="F57" s="42" t="str">
        <f t="shared" si="26"/>
        <v/>
      </c>
      <c r="G57" s="42" t="str">
        <f t="shared" si="26"/>
        <v/>
      </c>
      <c r="H57" s="42" t="str">
        <f t="shared" si="26"/>
        <v/>
      </c>
      <c r="I57" s="42">
        <f t="shared" si="26"/>
        <v>3</v>
      </c>
      <c r="J57" s="42" t="str">
        <f t="shared" si="26"/>
        <v/>
      </c>
      <c r="K57" s="42" t="str">
        <f t="shared" si="26"/>
        <v/>
      </c>
      <c r="L57" s="42" t="str">
        <f t="shared" si="26"/>
        <v/>
      </c>
      <c r="M57" s="42" t="str">
        <f t="shared" si="26"/>
        <v/>
      </c>
      <c r="N57" s="42" t="str">
        <f t="shared" si="26"/>
        <v/>
      </c>
      <c r="O57" s="42" t="str">
        <f t="shared" si="26"/>
        <v/>
      </c>
      <c r="P57" s="42">
        <f t="shared" si="26"/>
        <v>3</v>
      </c>
      <c r="Q57" s="42">
        <f t="shared" si="26"/>
        <v>3</v>
      </c>
      <c r="R57" s="42" t="str">
        <f t="shared" si="26"/>
        <v/>
      </c>
      <c r="S57" s="42" t="str">
        <f t="shared" si="26"/>
        <v/>
      </c>
      <c r="T57" s="42" t="str">
        <f t="shared" si="26"/>
        <v/>
      </c>
      <c r="U57" s="42">
        <f t="shared" si="26"/>
        <v>3</v>
      </c>
      <c r="V57" s="42">
        <f t="shared" si="26"/>
        <v>3</v>
      </c>
      <c r="W57" s="42" t="str">
        <f t="shared" si="26"/>
        <v/>
      </c>
      <c r="X57" s="42" t="str">
        <f t="shared" si="26"/>
        <v/>
      </c>
      <c r="Y57" s="42" t="str">
        <f t="shared" si="26"/>
        <v/>
      </c>
      <c r="Z57" s="42" t="str">
        <f t="shared" si="26"/>
        <v/>
      </c>
      <c r="AA57" s="42">
        <f t="shared" si="26"/>
        <v>3</v>
      </c>
      <c r="AB57" s="42">
        <f t="shared" si="26"/>
        <v>3</v>
      </c>
      <c r="AC57" s="42" t="str">
        <f t="shared" si="26"/>
        <v/>
      </c>
      <c r="AD57" s="42" t="str">
        <f t="shared" si="26"/>
        <v/>
      </c>
      <c r="AE57" s="42" t="str">
        <f t="shared" si="26"/>
        <v/>
      </c>
      <c r="AF57" s="42" t="str">
        <f t="shared" si="26"/>
        <v/>
      </c>
      <c r="AG57" s="42">
        <f t="shared" si="26"/>
        <v>3</v>
      </c>
      <c r="AH57" s="42">
        <f t="shared" si="26"/>
        <v>3</v>
      </c>
      <c r="AI57" s="42">
        <f t="shared" si="26"/>
        <v>3</v>
      </c>
      <c r="AJ57" s="42" t="str">
        <f t="shared" si="26"/>
        <v/>
      </c>
      <c r="AK57" s="42" t="str">
        <f t="shared" si="26"/>
        <v/>
      </c>
      <c r="AL57" s="42" t="str">
        <f t="shared" si="26"/>
        <v/>
      </c>
      <c r="AM57" s="42" t="str">
        <f t="shared" si="26"/>
        <v/>
      </c>
    </row>
    <row r="58" spans="2:39" ht="12" customHeight="1" x14ac:dyDescent="0.35"/>
    <row r="59" spans="2:39" s="12" customFormat="1" ht="18.899999999999999" customHeight="1" x14ac:dyDescent="0.35">
      <c r="B59" s="48">
        <f>DATE(AñoCalendario,10,1)</f>
        <v>44470</v>
      </c>
      <c r="C59" s="14" t="str" cm="1">
        <f t="array" ref="C59">IF(DAY(OctDom1)=1,"",IF(AND(YEAR(OctDom1+1)=AñoCalendario,MONTH(OctDom1+1)=10),OctDom1+1,""))</f>
        <v/>
      </c>
      <c r="D59" s="14" t="str" cm="1">
        <f t="array" ref="D59">IF(DAY(OctDom1)=1,"",IF(AND(YEAR(OctDom1+2)=AñoCalendario,MONTH(OctDom1+2)=10),OctDom1+2,""))</f>
        <v/>
      </c>
      <c r="E59" s="14" t="str" cm="1">
        <f t="array" ref="E59">IF(DAY(OctDom1)=1,"",IF(AND(YEAR(OctDom1+3)=AñoCalendario,MONTH(OctDom1+3)=10),OctDom1+3,""))</f>
        <v/>
      </c>
      <c r="F59" s="14" t="str" cm="1">
        <f t="array" ref="F59">IF(DAY(OctDom1)=1,"",IF(AND(YEAR(OctDom1+4)=AñoCalendario,MONTH(OctDom1+4)=10),OctDom1+4,""))</f>
        <v/>
      </c>
      <c r="G59" s="14" t="str" cm="1">
        <f t="array" ref="G59">IF(DAY(OctDom1)=1,"",IF(AND(YEAR(OctDom1+5)=AñoCalendario,MONTH(OctDom1+5)=10),OctDom1+5,""))</f>
        <v/>
      </c>
      <c r="H59" s="14" cm="1">
        <f t="array" ref="H59">IF(DAY(OctDom1)=1,"",IF(AND(YEAR(OctDom1+6)=AñoCalendario,MONTH(OctDom1+6)=10),OctDom1+6,""))</f>
        <v>44470</v>
      </c>
      <c r="I59" s="14" cm="1">
        <f t="array" ref="I59">_xlfn.SINGLE(IF(DAY(OctDom1)=1,IF(AND(YEAR(OctDom1)=AñoCalendario,MONTH(OctDom1)=10),OctSun1,""),IF(AND(YEAR(OctDom1+7)=AñoCalendario,MONTH(OctDom1+7)=10),OctDom1+7,"")))</f>
        <v>44471</v>
      </c>
      <c r="J59" s="14" cm="1">
        <f t="array" ref="J59">IF(DAY(OctDom1)=1,IF(AND(YEAR(OctDom1+1)=AñoCalendario,MONTH(OctDom1+1)=10),OctDom1+1,""),IF(AND(YEAR(OctDom1+8)=AñoCalendario,MONTH(OctDom1+8)=10),OctDom1+8,""))</f>
        <v>44472</v>
      </c>
      <c r="K59" s="14" cm="1">
        <f t="array" ref="K59">IF(DAY(OctDom1)=1,IF(AND(YEAR(OctDom1+2)=AñoCalendario,MONTH(OctDom1+2)=10),OctDom1+2,""),IF(AND(YEAR(OctDom1+9)=AñoCalendario,MONTH(OctDom1+9)=10),OctDom1+9,""))</f>
        <v>44473</v>
      </c>
      <c r="L59" s="14" cm="1">
        <f t="array" ref="L59">IF(DAY(OctDom1)=1,IF(AND(YEAR(OctDom1+3)=AñoCalendario,MONTH(OctDom1+3)=10),OctDom1+3,""),IF(AND(YEAR(OctDom1+10)=AñoCalendario,MONTH(OctDom1+10)=10),OctDom1+10,""))</f>
        <v>44474</v>
      </c>
      <c r="M59" s="14" cm="1">
        <f t="array" ref="M59">IF(DAY(OctDom1)=1,IF(AND(YEAR(OctDom1+4)=AñoCalendario,MONTH(OctDom1+4)=10),OctDom1+4,""),IF(AND(YEAR(OctDom1+11)=AñoCalendario,MONTH(OctDom1+11)=10),OctDom1+11,""))</f>
        <v>44475</v>
      </c>
      <c r="N59" s="14" cm="1">
        <f t="array" ref="N59">IF(DAY(OctDom1)=1,IF(AND(YEAR(OctDom1+5)=AñoCalendario,MONTH(OctDom1+5)=10),OctDom1+5,""),IF(AND(YEAR(OctDom1+12)=AñoCalendario,MONTH(OctDom1+12)=10),OctDom1+12,""))</f>
        <v>44476</v>
      </c>
      <c r="O59" s="14" cm="1">
        <f t="array" ref="O59">IF(DAY(OctDom1)=1,IF(AND(YEAR(OctDom1+6)=AñoCalendario,MONTH(OctDom1+6)=10),OctDom1+6,""),IF(AND(YEAR(OctDom1+13)=AñoCalendario,MONTH(OctDom1+13)=10),OctDom1+13,""))</f>
        <v>44477</v>
      </c>
      <c r="P59" s="14" cm="1">
        <f t="array" ref="P59">IF(DAY(OctDom1)=1,IF(AND(YEAR(OctDom1+7)=AñoCalendario,MONTH(OctDom1+7)=10),OctDom1+7,""),IF(AND(YEAR(OctDom1+14)=AñoCalendario,MONTH(OctDom1+14)=10),OctDom1+14,""))</f>
        <v>44478</v>
      </c>
      <c r="Q59" s="14" cm="1">
        <f t="array" ref="Q59">IF(DAY(OctDom1)=1,IF(AND(YEAR(OctDom1+8)=AñoCalendario,MONTH(OctDom1+8)=10),OctDom1+8,""),IF(AND(YEAR(OctDom1+15)=AñoCalendario,MONTH(OctDom1+15)=10),OctDom1+15,""))</f>
        <v>44479</v>
      </c>
      <c r="R59" s="14" cm="1">
        <f t="array" ref="R59">IF(DAY(OctDom1)=1,IF(AND(YEAR(OctDom1+9)=AñoCalendario,MONTH(OctDom1+9)=10),OctDom1+9,""),IF(AND(YEAR(OctDom1+16)=AñoCalendario,MONTH(OctDom1+16)=10),OctDom1+16,""))</f>
        <v>44480</v>
      </c>
      <c r="S59" s="14" cm="1">
        <f t="array" ref="S59">IF(DAY(OctDom1)=1,IF(AND(YEAR(OctDom1+10)=AñoCalendario,MONTH(OctDom1+10)=10),OctDom1+10,""),IF(AND(YEAR(OctDom1+17)=AñoCalendario,MONTH(OctDom1+17)=10),OctDom1+17,""))</f>
        <v>44481</v>
      </c>
      <c r="T59" s="14" cm="1">
        <f t="array" ref="T59">IF(DAY(OctDom1)=1,IF(AND(YEAR(OctDom1+11)=AñoCalendario,MONTH(OctDom1+11)=10),OctDom1+11,""),IF(AND(YEAR(OctDom1+18)=AñoCalendario,MONTH(OctDom1+18)=10),OctDom1+18,""))</f>
        <v>44482</v>
      </c>
      <c r="U59" s="14" cm="1">
        <f t="array" ref="U59">IF(DAY(OctDom1)=1,IF(AND(YEAR(OctDom1+12)=AñoCalendario,MONTH(OctDom1+12)=10),OctDom1+12,""),IF(AND(YEAR(OctDom1+19)=AñoCalendario,MONTH(OctDom1+19)=10),OctDom1+19,""))</f>
        <v>44483</v>
      </c>
      <c r="V59" s="14" cm="1">
        <f t="array" ref="V59">IF(DAY(OctDom1)=1,IF(AND(YEAR(OctDom1+13)=AñoCalendario,MONTH(OctDom1+13)=10),OctDom1+13,""),IF(AND(YEAR(OctDom1+20)=AñoCalendario,MONTH(OctDom1+20)=10),OctDom1+20,""))</f>
        <v>44484</v>
      </c>
      <c r="W59" s="14" cm="1">
        <f t="array" ref="W59">IF(DAY(OctDom1)=1,IF(AND(YEAR(OctDom1+14)=AñoCalendario,MONTH(OctDom1+14)=10),OctDom1+14,""),IF(AND(YEAR(OctDom1+21)=AñoCalendario,MONTH(OctDom1+21)=10),OctDom1+21,""))</f>
        <v>44485</v>
      </c>
      <c r="X59" s="14" cm="1">
        <f t="array" ref="X59">IF(DAY(OctDom1)=1,IF(AND(YEAR(OctDom1+15)=AñoCalendario,MONTH(OctDom1+15)=10),OctDom1+15,""),IF(AND(YEAR(OctDom1+22)=AñoCalendario,MONTH(OctDom1+22)=10),OctDom1+22,""))</f>
        <v>44486</v>
      </c>
      <c r="Y59" s="14" cm="1">
        <f t="array" ref="Y59">IF(DAY(OctDom1)=1,IF(AND(YEAR(OctDom1+16)=AñoCalendario,MONTH(OctDom1+16)=10),OctDom1+16,""),IF(AND(YEAR(OctDom1+23)=AñoCalendario,MONTH(OctDom1+23)=10),OctDom1+23,""))</f>
        <v>44487</v>
      </c>
      <c r="Z59" s="14" cm="1">
        <f t="array" ref="Z59">IF(DAY(OctDom1)=1,IF(AND(YEAR(OctDom1+17)=AñoCalendario,MONTH(OctDom1+17)=10),OctDom1+17,""),IF(AND(YEAR(OctDom1+24)=AñoCalendario,MONTH(OctDom1+24)=10),OctDom1+24,""))</f>
        <v>44488</v>
      </c>
      <c r="AA59" s="14" cm="1">
        <f t="array" ref="AA59">IF(DAY(OctDom1)=1,IF(AND(YEAR(OctDom1+18)=AñoCalendario,MONTH(OctDom1+18)=10),OctDom1+18,""),IF(AND(YEAR(OctDom1+25)=AñoCalendario,MONTH(OctDom1+25)=10),OctDom1+25,""))</f>
        <v>44489</v>
      </c>
      <c r="AB59" s="14" cm="1">
        <f t="array" ref="AB59">IF(DAY(OctDom1)=1,IF(AND(YEAR(OctDom1+19)=AñoCalendario,MONTH(OctDom1+19)=10),OctDom1+19,""),IF(AND(YEAR(OctDom1+26)=AñoCalendario,MONTH(OctDom1+26)=10),OctDom1+26,""))</f>
        <v>44490</v>
      </c>
      <c r="AC59" s="14" cm="1">
        <f t="array" ref="AC59">IF(DAY(OctDom1)=1,IF(AND(YEAR(OctDom1+20)=AñoCalendario,MONTH(OctDom1+20)=10),OctDom1+20,""),IF(AND(YEAR(OctDom1+27)=AñoCalendario,MONTH(OctDom1+27)=10),OctDom1+27,""))</f>
        <v>44491</v>
      </c>
      <c r="AD59" s="14" cm="1">
        <f t="array" ref="AD59">IF(DAY(OctDom1)=1,IF(AND(YEAR(OctDom1+21)=AñoCalendario,MONTH(OctDom1+21)=10),OctDom1+21,""),IF(AND(YEAR(OctDom1+28)=AñoCalendario,MONTH(OctDom1+28)=10),OctDom1+28,""))</f>
        <v>44492</v>
      </c>
      <c r="AE59" s="14" cm="1">
        <f t="array" ref="AE59">IF(DAY(OctDom1)=1,IF(AND(YEAR(OctDom1+22)=AñoCalendario,MONTH(OctDom1+22)=10),OctDom1+22,""),IF(AND(YEAR(OctDom1+29)=AñoCalendario,MONTH(OctDom1+29)=10),OctDom1+29,""))</f>
        <v>44493</v>
      </c>
      <c r="AF59" s="14" cm="1">
        <f t="array" ref="AF59">IF(DAY(OctDom1)=1,IF(AND(YEAR(OctDom1+23)=AñoCalendario,MONTH(OctDom1+23)=10),OctDom1+23,""),IF(AND(YEAR(OctDom1+30)=AñoCalendario,MONTH(OctDom1+30)=10),OctDom1+30,""))</f>
        <v>44494</v>
      </c>
      <c r="AG59" s="14" cm="1">
        <f t="array" ref="AG59">IF(DAY(OctDom1)=1,IF(AND(YEAR(OctDom1+24)=AñoCalendario,MONTH(OctDom1+24)=10),OctDom1+24,""),IF(AND(YEAR(OctDom1+31)=AñoCalendario,MONTH(OctDom1+31)=10),OctDom1+31,""))</f>
        <v>44495</v>
      </c>
      <c r="AH59" s="14" cm="1">
        <f t="array" ref="AH59">IF(DAY(OctDom1)=1,IF(AND(YEAR(OctDom1+25)=AñoCalendario,MONTH(OctDom1+25)=10),OctDom1+25,""),IF(AND(YEAR(OctDom1+32)=AñoCalendario,MONTH(OctDom1+32)=10),OctDom1+32,""))</f>
        <v>44496</v>
      </c>
      <c r="AI59" s="14" cm="1">
        <f t="array" ref="AI59">IF(DAY(OctDom1)=1,IF(AND(YEAR(OctDom1+26)=AñoCalendario,MONTH(OctDom1+26)=10),OctDom1+26,""),IF(AND(YEAR(OctDom1+33)=AñoCalendario,MONTH(OctDom1+33)=10),OctDom1+33,""))</f>
        <v>44497</v>
      </c>
      <c r="AJ59" s="14" cm="1">
        <f t="array" ref="AJ59">IF(DAY(OctDom1)=1,IF(AND(YEAR(OctDom1+27)=AñoCalendario,MONTH(OctDom1+27)=10),OctDom1+27,""),IF(AND(YEAR(OctDom1+34)=AñoCalendario,MONTH(OctDom1+34)=10),OctDom1+34,""))</f>
        <v>44498</v>
      </c>
      <c r="AK59" s="14" cm="1">
        <f t="array" ref="AK59">IF(DAY(OctDom1)=1,IF(AND(YEAR(OctDom1+28)=AñoCalendario,MONTH(OctDom1+28)=10),OctDom1+28,""),IF(AND(YEAR(OctDom1+35)=AñoCalendario,MONTH(OctDom1+35)=10),OctDom1+35,""))</f>
        <v>44499</v>
      </c>
      <c r="AL59" s="14" cm="1">
        <f t="array" ref="AL59">IF(DAY(OctDom1)=1,IF(AND(YEAR(OctDom1+29)=AñoCalendario,MONTH(OctDom1+29)=10),OctDom1+29,""),IF(AND(YEAR(OctDom1+36)=AñoCalendario,MONTH(OctDom1+36)=10),OctDom1+36,""))</f>
        <v>44500</v>
      </c>
      <c r="AM59" s="15" t="str" cm="1">
        <f t="array" ref="AM59">IF(DAY(OctDom1)=1,IF(AND(YEAR(OctDom1+30)=AñoCalendario,MONTH(OctDom1+30)=10),OctDom1+30,""),IF(AND(YEAR(OctDom1+37)=AñoCalendario,MONTH(OctDom1+37)=10),OctDom1+37,""))</f>
        <v/>
      </c>
    </row>
    <row r="60" spans="2:39" s="12" customFormat="1" ht="18.899999999999999" customHeight="1" x14ac:dyDescent="0.35">
      <c r="B60" s="49"/>
      <c r="C60" s="13" t="s">
        <v>0</v>
      </c>
      <c r="D60" s="13" t="s">
        <v>1</v>
      </c>
      <c r="E60" s="13" t="s">
        <v>2</v>
      </c>
      <c r="F60" s="13" t="s">
        <v>3</v>
      </c>
      <c r="G60" s="13" t="s">
        <v>4</v>
      </c>
      <c r="H60" s="13" t="s">
        <v>5</v>
      </c>
      <c r="I60" s="13" t="s">
        <v>6</v>
      </c>
      <c r="J60" s="13" t="s">
        <v>0</v>
      </c>
      <c r="K60" s="13" t="s">
        <v>1</v>
      </c>
      <c r="L60" s="13" t="s">
        <v>2</v>
      </c>
      <c r="M60" s="13" t="s">
        <v>3</v>
      </c>
      <c r="N60" s="13" t="s">
        <v>4</v>
      </c>
      <c r="O60" s="13" t="s">
        <v>5</v>
      </c>
      <c r="P60" s="13" t="s">
        <v>6</v>
      </c>
      <c r="Q60" s="13" t="s">
        <v>0</v>
      </c>
      <c r="R60" s="13" t="s">
        <v>1</v>
      </c>
      <c r="S60" s="13" t="s">
        <v>2</v>
      </c>
      <c r="T60" s="13" t="s">
        <v>3</v>
      </c>
      <c r="U60" s="13" t="s">
        <v>4</v>
      </c>
      <c r="V60" s="13" t="s">
        <v>5</v>
      </c>
      <c r="W60" s="13" t="s">
        <v>6</v>
      </c>
      <c r="X60" s="13" t="s">
        <v>0</v>
      </c>
      <c r="Y60" s="13" t="s">
        <v>1</v>
      </c>
      <c r="Z60" s="13" t="s">
        <v>2</v>
      </c>
      <c r="AA60" s="13" t="s">
        <v>3</v>
      </c>
      <c r="AB60" s="13" t="s">
        <v>4</v>
      </c>
      <c r="AC60" s="13" t="s">
        <v>5</v>
      </c>
      <c r="AD60" s="13" t="s">
        <v>6</v>
      </c>
      <c r="AE60" s="13" t="s">
        <v>0</v>
      </c>
      <c r="AF60" s="13" t="s">
        <v>1</v>
      </c>
      <c r="AG60" s="13" t="s">
        <v>2</v>
      </c>
      <c r="AH60" s="13" t="s">
        <v>3</v>
      </c>
      <c r="AI60" s="13" t="s">
        <v>4</v>
      </c>
      <c r="AJ60" s="13" t="s">
        <v>5</v>
      </c>
      <c r="AK60" s="13" t="s">
        <v>6</v>
      </c>
      <c r="AL60" s="13" t="s">
        <v>0</v>
      </c>
      <c r="AM60" s="16" t="s">
        <v>1</v>
      </c>
    </row>
    <row r="61" spans="2:39" ht="18.899999999999999" customHeight="1" x14ac:dyDescent="0.35">
      <c r="B61" s="10" t="str">
        <f>IF(Trabajo1_Nombre="","",Trabajo1_Nombre)</f>
        <v>Trabajo 1</v>
      </c>
      <c r="C61" s="41" t="str">
        <f t="shared" ref="C61:AM61" si="27">IF(OR(NOT(ISNUMBER(C59)),C59&lt;_xlfn.SINGLE(Trabajo1_DíaInicio)),"",IF(MID(_xlfn.SINGLE(Trabajo1_Patrón),MOD(C59-_xlfn.SINGLE(Trabajo1_DíaInicio),LEN(_xlfn.SINGLE(Trabajo1_Patrón)))+1,1)=_xlfn.SINGLE(Trabajo1_Turno1_Código),1,IF(MID(_xlfn.SINGLE(Trabajo1_Patrón),MOD(C59-_xlfn.SINGLE(Trabajo1_DíaInicio),LEN(_xlfn.SINGLE(Trabajo1_Patrón)))+1,1)=_xlfn.SINGLE(Trabajo1_Turno2_Código),2,IF(MID(_xlfn.SINGLE(Trabajo1_Patrón),MOD(C59-_xlfn.SINGLE(Trabajo1_DíaInicio),LEN(_xlfn.SINGLE(Trabajo1_Patrón)))+1,1)=_xlfn.SINGLE(Trabajo1_Turno3_Código),3,""))))</f>
        <v/>
      </c>
      <c r="D61" s="41" t="str">
        <f t="shared" si="27"/>
        <v/>
      </c>
      <c r="E61" s="41" t="str">
        <f t="shared" si="27"/>
        <v/>
      </c>
      <c r="F61" s="41" t="str">
        <f t="shared" si="27"/>
        <v/>
      </c>
      <c r="G61" s="41" t="str">
        <f t="shared" si="27"/>
        <v/>
      </c>
      <c r="H61" s="41" t="str">
        <f t="shared" si="27"/>
        <v/>
      </c>
      <c r="I61" s="41">
        <f t="shared" si="27"/>
        <v>1</v>
      </c>
      <c r="J61" s="41">
        <f t="shared" si="27"/>
        <v>1</v>
      </c>
      <c r="K61" s="41">
        <f t="shared" si="27"/>
        <v>1</v>
      </c>
      <c r="L61" s="41">
        <f t="shared" si="27"/>
        <v>1</v>
      </c>
      <c r="M61" s="41" t="str">
        <f t="shared" si="27"/>
        <v/>
      </c>
      <c r="N61" s="41" t="str">
        <f t="shared" si="27"/>
        <v/>
      </c>
      <c r="O61" s="41">
        <f t="shared" si="27"/>
        <v>2</v>
      </c>
      <c r="P61" s="41">
        <f t="shared" si="27"/>
        <v>2</v>
      </c>
      <c r="Q61" s="41">
        <f t="shared" si="27"/>
        <v>2</v>
      </c>
      <c r="R61" s="41">
        <f t="shared" si="27"/>
        <v>2</v>
      </c>
      <c r="S61" s="41" t="str">
        <f t="shared" si="27"/>
        <v/>
      </c>
      <c r="T61" s="41" t="str">
        <f t="shared" si="27"/>
        <v/>
      </c>
      <c r="U61" s="41">
        <f t="shared" si="27"/>
        <v>1</v>
      </c>
      <c r="V61" s="41">
        <f t="shared" si="27"/>
        <v>1</v>
      </c>
      <c r="W61" s="41">
        <f t="shared" si="27"/>
        <v>1</v>
      </c>
      <c r="X61" s="41" t="str">
        <f t="shared" si="27"/>
        <v/>
      </c>
      <c r="Y61" s="41">
        <f t="shared" si="27"/>
        <v>2</v>
      </c>
      <c r="Z61" s="41">
        <f t="shared" si="27"/>
        <v>2</v>
      </c>
      <c r="AA61" s="41">
        <f t="shared" si="27"/>
        <v>2</v>
      </c>
      <c r="AB61" s="41" t="str">
        <f t="shared" si="27"/>
        <v/>
      </c>
      <c r="AC61" s="41" t="str">
        <f t="shared" si="27"/>
        <v/>
      </c>
      <c r="AD61" s="41" t="str">
        <f t="shared" si="27"/>
        <v/>
      </c>
      <c r="AE61" s="41">
        <f t="shared" si="27"/>
        <v>1</v>
      </c>
      <c r="AF61" s="41">
        <f t="shared" si="27"/>
        <v>1</v>
      </c>
      <c r="AG61" s="41" t="str">
        <f t="shared" si="27"/>
        <v/>
      </c>
      <c r="AH61" s="41">
        <f t="shared" si="27"/>
        <v>2</v>
      </c>
      <c r="AI61" s="41">
        <f t="shared" si="27"/>
        <v>2</v>
      </c>
      <c r="AJ61" s="41" t="str">
        <f t="shared" si="27"/>
        <v/>
      </c>
      <c r="AK61" s="41" t="str">
        <f t="shared" si="27"/>
        <v/>
      </c>
      <c r="AL61" s="41" t="str">
        <f t="shared" si="27"/>
        <v/>
      </c>
      <c r="AM61" s="41" t="str">
        <f t="shared" si="27"/>
        <v/>
      </c>
    </row>
    <row r="62" spans="2:39" ht="18.899999999999999" customHeight="1" x14ac:dyDescent="0.35">
      <c r="B62" s="11" t="str">
        <f>IF(Trabajo2_Nombre="","",Trabajo2_Nombre)</f>
        <v>Trabajo 2</v>
      </c>
      <c r="C62" s="42" t="str">
        <f t="shared" ref="C62:AM62" si="28">IF(OR(NOT(ISNUMBER(C59)),C59&lt;_xlfn.SINGLE(Trabajo2_DíaInicio)),"",IF(MID(_xlfn.SINGLE(Trabajo2_Patrón),MOD(C59-_xlfn.SINGLE(Trabajo2_DíaInicio),LEN(_xlfn.SINGLE(Trabajo2_Patrón)))+1,1)=_xlfn.SINGLE(Trabajo2_Turno1_Código),1,IF(MID(_xlfn.SINGLE(Trabajo2_Patrón),MOD(C59-_xlfn.SINGLE(Trabajo2_DíaInicio),LEN(_xlfn.SINGLE(Trabajo2_Patrón)))+1,1)=_xlfn.SINGLE(Trabajo2_Turno2_Código),2,IF(MID(_xlfn.SINGLE(Trabajo2_Patrón),MOD(C59-_xlfn.SINGLE(Trabajo2_DíaInicio),LEN(_xlfn.SINGLE(Trabajo2_Patrón)))+1,1)=_xlfn.SINGLE(Trabajo2_Turno3_Código),3,""))))</f>
        <v/>
      </c>
      <c r="D62" s="42" t="str">
        <f t="shared" si="28"/>
        <v/>
      </c>
      <c r="E62" s="42" t="str">
        <f t="shared" si="28"/>
        <v/>
      </c>
      <c r="F62" s="42" t="str">
        <f t="shared" si="28"/>
        <v/>
      </c>
      <c r="G62" s="42" t="str">
        <f t="shared" si="28"/>
        <v/>
      </c>
      <c r="H62" s="42" t="str">
        <f t="shared" si="28"/>
        <v/>
      </c>
      <c r="I62" s="42" t="str">
        <f t="shared" si="28"/>
        <v/>
      </c>
      <c r="J62" s="42" t="str">
        <f t="shared" si="28"/>
        <v/>
      </c>
      <c r="K62" s="42">
        <f t="shared" si="28"/>
        <v>2</v>
      </c>
      <c r="L62" s="42">
        <f t="shared" si="28"/>
        <v>2</v>
      </c>
      <c r="M62" s="42" t="str">
        <f t="shared" si="28"/>
        <v/>
      </c>
      <c r="N62" s="42">
        <f t="shared" si="28"/>
        <v>1</v>
      </c>
      <c r="O62" s="42">
        <f t="shared" si="28"/>
        <v>1</v>
      </c>
      <c r="P62" s="42" t="str">
        <f t="shared" si="28"/>
        <v/>
      </c>
      <c r="Q62" s="42" t="str">
        <f t="shared" si="28"/>
        <v/>
      </c>
      <c r="R62" s="42" t="str">
        <f t="shared" si="28"/>
        <v/>
      </c>
      <c r="S62" s="42">
        <f t="shared" si="28"/>
        <v>2</v>
      </c>
      <c r="T62" s="42">
        <f t="shared" si="28"/>
        <v>2</v>
      </c>
      <c r="U62" s="42">
        <f t="shared" si="28"/>
        <v>2</v>
      </c>
      <c r="V62" s="42">
        <f t="shared" si="28"/>
        <v>2</v>
      </c>
      <c r="W62" s="42" t="str">
        <f t="shared" si="28"/>
        <v/>
      </c>
      <c r="X62" s="42" t="str">
        <f t="shared" si="28"/>
        <v/>
      </c>
      <c r="Y62" s="42" t="str">
        <f t="shared" si="28"/>
        <v/>
      </c>
      <c r="Z62" s="42" t="str">
        <f t="shared" si="28"/>
        <v/>
      </c>
      <c r="AA62" s="42" t="str">
        <f t="shared" si="28"/>
        <v/>
      </c>
      <c r="AB62" s="42">
        <f t="shared" si="28"/>
        <v>1</v>
      </c>
      <c r="AC62" s="42" t="str">
        <f t="shared" si="28"/>
        <v/>
      </c>
      <c r="AD62" s="42" t="str">
        <f t="shared" si="28"/>
        <v/>
      </c>
      <c r="AE62" s="42">
        <f t="shared" si="28"/>
        <v>2</v>
      </c>
      <c r="AF62" s="42">
        <f t="shared" si="28"/>
        <v>2</v>
      </c>
      <c r="AG62" s="42">
        <f t="shared" si="28"/>
        <v>2</v>
      </c>
      <c r="AH62" s="42" t="str">
        <f t="shared" si="28"/>
        <v/>
      </c>
      <c r="AI62" s="42" t="str">
        <f t="shared" si="28"/>
        <v/>
      </c>
      <c r="AJ62" s="42">
        <f t="shared" si="28"/>
        <v>1</v>
      </c>
      <c r="AK62" s="42">
        <f t="shared" si="28"/>
        <v>1</v>
      </c>
      <c r="AL62" s="42" t="str">
        <f t="shared" si="28"/>
        <v/>
      </c>
      <c r="AM62" s="42" t="str">
        <f t="shared" si="28"/>
        <v/>
      </c>
    </row>
    <row r="63" spans="2:39" ht="18.899999999999999" customHeight="1" x14ac:dyDescent="0.35">
      <c r="B63" s="11" t="str">
        <f>_xlfn.SINGLE(IF(_xlfn.SINGLE(Trabajo3_Nombre)="","",Trabajo3_Nombre))</f>
        <v>Trabajo 3</v>
      </c>
      <c r="C63" s="42" t="str">
        <f t="shared" ref="C63:AM63" si="29">IF(OR(NOT(ISNUMBER(C59)),C59&lt;_xlfn.SINGLE(Trabajo3_DíaInicio)),"",IF(MID(_xlfn.SINGLE(Trabajo3_Patrón),MOD(C59-_xlfn.SINGLE(Trabajo3_DíaInicio),LEN(_xlfn.SINGLE(Trabajo3_Patrón)))+1,1)=_xlfn.SINGLE(Trabajo3_Turno1_Código),1,IF(MID(_xlfn.SINGLE(Trabajo3_Patrón),MOD(C59-_xlfn.SINGLE(Trabajo3_DíaInicio),LEN(_xlfn.SINGLE(Trabajo3_Patrón)))+1,1)=_xlfn.SINGLE(Trabajo3_Turno2_Código),2,IF(MID(_xlfn.SINGLE(Trabajo3_Patrón),MOD(C59-_xlfn.SINGLE(Trabajo3_DíaInicio),LEN(_xlfn.SINGLE(Trabajo3_Patrón)))+1,1)=_xlfn.SINGLE(Trabajo3_Turno3_Código),3,""))))</f>
        <v/>
      </c>
      <c r="D63" s="42" t="str">
        <f t="shared" si="29"/>
        <v/>
      </c>
      <c r="E63" s="42" t="str">
        <f t="shared" si="29"/>
        <v/>
      </c>
      <c r="F63" s="42" t="str">
        <f t="shared" si="29"/>
        <v/>
      </c>
      <c r="G63" s="42" t="str">
        <f t="shared" si="29"/>
        <v/>
      </c>
      <c r="H63" s="42" t="str">
        <f t="shared" si="29"/>
        <v/>
      </c>
      <c r="I63" s="42" t="str">
        <f t="shared" si="29"/>
        <v/>
      </c>
      <c r="J63" s="42" t="str">
        <f t="shared" si="29"/>
        <v/>
      </c>
      <c r="K63" s="42">
        <f t="shared" si="29"/>
        <v>3</v>
      </c>
      <c r="L63" s="42" t="str">
        <f t="shared" si="29"/>
        <v/>
      </c>
      <c r="M63" s="42" t="str">
        <f t="shared" si="29"/>
        <v/>
      </c>
      <c r="N63" s="42" t="str">
        <f t="shared" si="29"/>
        <v/>
      </c>
      <c r="O63" s="42" t="str">
        <f t="shared" si="29"/>
        <v/>
      </c>
      <c r="P63" s="42" t="str">
        <f t="shared" si="29"/>
        <v/>
      </c>
      <c r="Q63" s="42" t="str">
        <f t="shared" si="29"/>
        <v/>
      </c>
      <c r="R63" s="42">
        <f t="shared" si="29"/>
        <v>3</v>
      </c>
      <c r="S63" s="42">
        <f t="shared" si="29"/>
        <v>3</v>
      </c>
      <c r="T63" s="42" t="str">
        <f t="shared" si="29"/>
        <v/>
      </c>
      <c r="U63" s="42" t="str">
        <f t="shared" si="29"/>
        <v/>
      </c>
      <c r="V63" s="42" t="str">
        <f t="shared" si="29"/>
        <v/>
      </c>
      <c r="W63" s="42">
        <f t="shared" si="29"/>
        <v>3</v>
      </c>
      <c r="X63" s="42">
        <f t="shared" si="29"/>
        <v>3</v>
      </c>
      <c r="Y63" s="42" t="str">
        <f t="shared" si="29"/>
        <v/>
      </c>
      <c r="Z63" s="42" t="str">
        <f t="shared" si="29"/>
        <v/>
      </c>
      <c r="AA63" s="42" t="str">
        <f t="shared" si="29"/>
        <v/>
      </c>
      <c r="AB63" s="42" t="str">
        <f t="shared" si="29"/>
        <v/>
      </c>
      <c r="AC63" s="42">
        <f t="shared" si="29"/>
        <v>3</v>
      </c>
      <c r="AD63" s="42">
        <f t="shared" si="29"/>
        <v>3</v>
      </c>
      <c r="AE63" s="42" t="str">
        <f t="shared" si="29"/>
        <v/>
      </c>
      <c r="AF63" s="42" t="str">
        <f t="shared" si="29"/>
        <v/>
      </c>
      <c r="AG63" s="42" t="str">
        <f t="shared" si="29"/>
        <v/>
      </c>
      <c r="AH63" s="42" t="str">
        <f t="shared" si="29"/>
        <v/>
      </c>
      <c r="AI63" s="42">
        <f t="shared" si="29"/>
        <v>3</v>
      </c>
      <c r="AJ63" s="42">
        <f t="shared" si="29"/>
        <v>3</v>
      </c>
      <c r="AK63" s="42">
        <f t="shared" si="29"/>
        <v>3</v>
      </c>
      <c r="AL63" s="42" t="str">
        <f t="shared" si="29"/>
        <v/>
      </c>
      <c r="AM63" s="42" t="str">
        <f t="shared" si="29"/>
        <v/>
      </c>
    </row>
    <row r="64" spans="2:39" ht="12" customHeight="1" x14ac:dyDescent="0.35"/>
    <row r="65" spans="2:39" s="12" customFormat="1" ht="18.899999999999999" customHeight="1" x14ac:dyDescent="0.35">
      <c r="B65" s="48">
        <f>DATE(AñoCalendario,11,1)</f>
        <v>44501</v>
      </c>
      <c r="C65" s="14" t="str" cm="1">
        <f t="array" ref="C65">IF(DAY(NovDom1)=1,"",IF(AND(YEAR(NovDom1+1)=AñoCalendario,MONTH(NovDom1+1)=11),NovDom1+1,""))</f>
        <v/>
      </c>
      <c r="D65" s="14" cm="1">
        <f t="array" ref="D65">IF(DAY(NovDom1)=1,"",IF(AND(YEAR(NovDom1+2)=AñoCalendario,MONTH(NovDom1+2)=11),NovDom1+2,""))</f>
        <v>44501</v>
      </c>
      <c r="E65" s="14" cm="1">
        <f t="array" ref="E65">IF(DAY(NovDom1)=1,"",IF(AND(YEAR(NovDom1+3)=AñoCalendario,MONTH(NovDom1+3)=11),NovDom1+3,""))</f>
        <v>44502</v>
      </c>
      <c r="F65" s="14" cm="1">
        <f t="array" ref="F65">IF(DAY(NovDom1)=1,"",IF(AND(YEAR(NovDom1+4)=AñoCalendario,MONTH(NovDom1+4)=11),NovDom1+4,""))</f>
        <v>44503</v>
      </c>
      <c r="G65" s="14" cm="1">
        <f t="array" ref="G65">IF(DAY(NovDom1)=1,"",IF(AND(YEAR(NovDom1+5)=AñoCalendario,MONTH(NovDom1+5)=11),NovDom1+5,""))</f>
        <v>44504</v>
      </c>
      <c r="H65" s="14" cm="1">
        <f t="array" ref="H65">IF(DAY(NovDom1)=1,"",IF(AND(YEAR(NovDom1+6)=AñoCalendario,MONTH(NovDom1+6)=11),NovDom1+6,""))</f>
        <v>44505</v>
      </c>
      <c r="I65" s="14" cm="1">
        <f t="array" ref="I65">_xlfn.SINGLE(IF(DAY(NovDom1)=1,IF(AND(YEAR(NovDom1)=AñoCalendario,MONTH(NovDom1)=11),NovSun1,""),IF(AND(YEAR(NovDom1+7)=AñoCalendario,MONTH(NovDom1+7)=11),NovDom1+7,"")))</f>
        <v>44506</v>
      </c>
      <c r="J65" s="14" cm="1">
        <f t="array" ref="J65">IF(DAY(NovDom1)=1,IF(AND(YEAR(NovDom1+1)=AñoCalendario,MONTH(NovDom1+1)=11),NovDom1+1,""),IF(AND(YEAR(NovDom1+8)=AñoCalendario,MONTH(NovDom1+8)=11),NovDom1+8,""))</f>
        <v>44507</v>
      </c>
      <c r="K65" s="14" cm="1">
        <f t="array" ref="K65">IF(DAY(NovDom1)=1,IF(AND(YEAR(NovDom1+2)=AñoCalendario,MONTH(NovDom1+2)=11),NovDom1+2,""),IF(AND(YEAR(NovDom1+9)=AñoCalendario,MONTH(NovDom1+9)=11),NovDom1+9,""))</f>
        <v>44508</v>
      </c>
      <c r="L65" s="14" cm="1">
        <f t="array" ref="L65">IF(DAY(NovDom1)=1,IF(AND(YEAR(NovDom1+3)=AñoCalendario,MONTH(NovDom1+3)=11),NovDom1+3,""),IF(AND(YEAR(NovDom1+10)=AñoCalendario,MONTH(NovDom1+10)=11),NovDom1+10,""))</f>
        <v>44509</v>
      </c>
      <c r="M65" s="14" cm="1">
        <f t="array" ref="M65">IF(DAY(NovDom1)=1,IF(AND(YEAR(NovDom1+4)=AñoCalendario,MONTH(NovDom1+4)=11),NovDom1+4,""),IF(AND(YEAR(NovDom1+11)=AñoCalendario,MONTH(NovDom1+11)=11),NovDom1+11,""))</f>
        <v>44510</v>
      </c>
      <c r="N65" s="14" cm="1">
        <f t="array" ref="N65">IF(DAY(NovDom1)=1,IF(AND(YEAR(NovDom1+5)=AñoCalendario,MONTH(NovDom1+5)=11),NovDom1+5,""),IF(AND(YEAR(NovDom1+12)=AñoCalendario,MONTH(NovDom1+12)=11),NovDom1+12,""))</f>
        <v>44511</v>
      </c>
      <c r="O65" s="14" cm="1">
        <f t="array" ref="O65">IF(DAY(NovDom1)=1,IF(AND(YEAR(NovDom1+6)=AñoCalendario,MONTH(NovDom1+6)=11),NovDom1+6,""),IF(AND(YEAR(NovDom1+13)=AñoCalendario,MONTH(NovDom1+13)=11),NovDom1+13,""))</f>
        <v>44512</v>
      </c>
      <c r="P65" s="14" cm="1">
        <f t="array" ref="P65">IF(DAY(NovDom1)=1,IF(AND(YEAR(NovDom1+7)=AñoCalendario,MONTH(NovDom1+7)=11),NovDom1+7,""),IF(AND(YEAR(NovDom1+14)=AñoCalendario,MONTH(NovDom1+14)=11),NovDom1+14,""))</f>
        <v>44513</v>
      </c>
      <c r="Q65" s="14" cm="1">
        <f t="array" ref="Q65">IF(DAY(NovDom1)=1,IF(AND(YEAR(NovDom1+8)=AñoCalendario,MONTH(NovDom1+8)=11),NovDom1+8,""),IF(AND(YEAR(NovDom1+15)=AñoCalendario,MONTH(NovDom1+15)=11),NovDom1+15,""))</f>
        <v>44514</v>
      </c>
      <c r="R65" s="14" cm="1">
        <f t="array" ref="R65">IF(DAY(NovDom1)=1,IF(AND(YEAR(NovDom1+9)=AñoCalendario,MONTH(NovDom1+9)=11),NovDom1+9,""),IF(AND(YEAR(NovDom1+16)=AñoCalendario,MONTH(NovDom1+16)=11),NovDom1+16,""))</f>
        <v>44515</v>
      </c>
      <c r="S65" s="14" cm="1">
        <f t="array" ref="S65">IF(DAY(NovDom1)=1,IF(AND(YEAR(NovDom1+10)=AñoCalendario,MONTH(NovDom1+10)=11),NovDom1+10,""),IF(AND(YEAR(NovDom1+17)=AñoCalendario,MONTH(NovDom1+17)=11),NovDom1+17,""))</f>
        <v>44516</v>
      </c>
      <c r="T65" s="14" cm="1">
        <f t="array" ref="T65">IF(DAY(NovDom1)=1,IF(AND(YEAR(NovDom1+11)=AñoCalendario,MONTH(NovDom1+11)=11),NovDom1+11,""),IF(AND(YEAR(NovDom1+18)=AñoCalendario,MONTH(NovDom1+18)=11),NovDom1+18,""))</f>
        <v>44517</v>
      </c>
      <c r="U65" s="14" cm="1">
        <f t="array" ref="U65">IF(DAY(NovDom1)=1,IF(AND(YEAR(NovDom1+12)=AñoCalendario,MONTH(NovDom1+12)=11),NovDom1+12,""),IF(AND(YEAR(NovDom1+19)=AñoCalendario,MONTH(NovDom1+19)=11),NovDom1+19,""))</f>
        <v>44518</v>
      </c>
      <c r="V65" s="14" cm="1">
        <f t="array" ref="V65">IF(DAY(NovDom1)=1,IF(AND(YEAR(NovDom1+13)=AñoCalendario,MONTH(NovDom1+13)=11),NovDom1+13,""),IF(AND(YEAR(NovDom1+20)=AñoCalendario,MONTH(NovDom1+20)=11),NovDom1+20,""))</f>
        <v>44519</v>
      </c>
      <c r="W65" s="14" cm="1">
        <f t="array" ref="W65">IF(DAY(NovDom1)=1,IF(AND(YEAR(NovDom1+14)=AñoCalendario,MONTH(NovDom1+14)=11),NovDom1+14,""),IF(AND(YEAR(NovDom1+21)=AñoCalendario,MONTH(NovDom1+21)=11),NovDom1+21,""))</f>
        <v>44520</v>
      </c>
      <c r="X65" s="14" cm="1">
        <f t="array" ref="X65">IF(DAY(NovDom1)=1,IF(AND(YEAR(NovDom1+15)=AñoCalendario,MONTH(NovDom1+15)=11),NovDom1+15,""),IF(AND(YEAR(NovDom1+22)=AñoCalendario,MONTH(NovDom1+22)=11),NovDom1+22,""))</f>
        <v>44521</v>
      </c>
      <c r="Y65" s="14" cm="1">
        <f t="array" ref="Y65">IF(DAY(NovDom1)=1,IF(AND(YEAR(NovDom1+16)=AñoCalendario,MONTH(NovDom1+16)=11),NovDom1+16,""),IF(AND(YEAR(NovDom1+23)=AñoCalendario,MONTH(NovDom1+23)=11),NovDom1+23,""))</f>
        <v>44522</v>
      </c>
      <c r="Z65" s="14" cm="1">
        <f t="array" ref="Z65">IF(DAY(NovDom1)=1,IF(AND(YEAR(NovDom1+17)=AñoCalendario,MONTH(NovDom1+17)=11),NovDom1+17,""),IF(AND(YEAR(NovDom1+24)=AñoCalendario,MONTH(NovDom1+24)=11),NovDom1+24,""))</f>
        <v>44523</v>
      </c>
      <c r="AA65" s="14" cm="1">
        <f t="array" ref="AA65">IF(DAY(NovDom1)=1,IF(AND(YEAR(NovDom1+18)=AñoCalendario,MONTH(NovDom1+18)=11),NovDom1+18,""),IF(AND(YEAR(NovDom1+25)=AñoCalendario,MONTH(NovDom1+25)=11),NovDom1+25,""))</f>
        <v>44524</v>
      </c>
      <c r="AB65" s="14" cm="1">
        <f t="array" ref="AB65">IF(DAY(NovDom1)=1,IF(AND(YEAR(NovDom1+19)=AñoCalendario,MONTH(NovDom1+19)=11),NovDom1+19,""),IF(AND(YEAR(NovDom1+26)=AñoCalendario,MONTH(NovDom1+26)=11),NovDom1+26,""))</f>
        <v>44525</v>
      </c>
      <c r="AC65" s="14" cm="1">
        <f t="array" ref="AC65">IF(DAY(NovDom1)=1,IF(AND(YEAR(NovDom1+20)=AñoCalendario,MONTH(NovDom1+20)=11),NovDom1+20,""),IF(AND(YEAR(NovDom1+27)=AñoCalendario,MONTH(NovDom1+27)=11),NovDom1+27,""))</f>
        <v>44526</v>
      </c>
      <c r="AD65" s="14" cm="1">
        <f t="array" ref="AD65">IF(DAY(NovDom1)=1,IF(AND(YEAR(NovDom1+21)=AñoCalendario,MONTH(NovDom1+21)=11),NovDom1+21,""),IF(AND(YEAR(NovDom1+28)=AñoCalendario,MONTH(NovDom1+28)=11),NovDom1+28,""))</f>
        <v>44527</v>
      </c>
      <c r="AE65" s="14" cm="1">
        <f t="array" ref="AE65">IF(DAY(NovDom1)=1,IF(AND(YEAR(NovDom1+22)=AñoCalendario,MONTH(NovDom1+22)=11),NovDom1+22,""),IF(AND(YEAR(NovDom1+29)=AñoCalendario,MONTH(NovDom1+29)=11),NovDom1+29,""))</f>
        <v>44528</v>
      </c>
      <c r="AF65" s="14" cm="1">
        <f t="array" ref="AF65">IF(DAY(NovDom1)=1,IF(AND(YEAR(NovDom1+23)=AñoCalendario,MONTH(NovDom1+23)=11),NovDom1+23,""),IF(AND(YEAR(NovDom1+30)=AñoCalendario,MONTH(NovDom1+30)=11),NovDom1+30,""))</f>
        <v>44529</v>
      </c>
      <c r="AG65" s="14" cm="1">
        <f t="array" ref="AG65">IF(DAY(NovDom1)=1,IF(AND(YEAR(NovDom1+24)=AñoCalendario,MONTH(NovDom1+24)=11),NovDom1+24,""),IF(AND(YEAR(NovDom1+31)=AñoCalendario,MONTH(NovDom1+31)=11),NovDom1+31,""))</f>
        <v>44530</v>
      </c>
      <c r="AH65" s="14" t="str" cm="1">
        <f t="array" ref="AH65">IF(DAY(NovDom1)=1,IF(AND(YEAR(NovDom1+25)=AñoCalendario,MONTH(NovDom1+25)=11),NovDom1+25,""),IF(AND(YEAR(NovDom1+32)=AñoCalendario,MONTH(NovDom1+32)=11),NovDom1+32,""))</f>
        <v/>
      </c>
      <c r="AI65" s="14" t="str" cm="1">
        <f t="array" ref="AI65">IF(DAY(NovDom1)=1,IF(AND(YEAR(NovDom1+26)=AñoCalendario,MONTH(NovDom1+26)=11),NovDom1+26,""),IF(AND(YEAR(NovDom1+33)=AñoCalendario,MONTH(NovDom1+33)=11),NovDom1+33,""))</f>
        <v/>
      </c>
      <c r="AJ65" s="14" t="str" cm="1">
        <f t="array" ref="AJ65">IF(DAY(NovDom1)=1,IF(AND(YEAR(NovDom1+27)=AñoCalendario,MONTH(NovDom1+27)=11),NovDom1+27,""),IF(AND(YEAR(NovDom1+34)=AñoCalendario,MONTH(NovDom1+34)=11),NovDom1+34,""))</f>
        <v/>
      </c>
      <c r="AK65" s="14" t="str" cm="1">
        <f t="array" ref="AK65">IF(DAY(NovDom1)=1,IF(AND(YEAR(NovDom1+28)=AñoCalendario,MONTH(NovDom1+28)=11),NovDom1+28,""),IF(AND(YEAR(NovDom1+35)=AñoCalendario,MONTH(NovDom1+35)=11),NovDom1+35,""))</f>
        <v/>
      </c>
      <c r="AL65" s="14" t="str" cm="1">
        <f t="array" ref="AL65">IF(DAY(NovDom1)=1,IF(AND(YEAR(NovDom1+29)=AñoCalendario,MONTH(NovDom1+29)=11),NovDom1+29,""),IF(AND(YEAR(NovDom1+36)=AñoCalendario,MONTH(NovDom1+36)=11),NovDom1+36,""))</f>
        <v/>
      </c>
      <c r="AM65" s="15" t="str" cm="1">
        <f t="array" ref="AM65">IF(DAY(NovDom1)=1,IF(AND(YEAR(NovDom1+30)=AñoCalendario,MONTH(NovDom1+30)=11),NovDom1+30,""),IF(AND(YEAR(NovDom1+37)=AñoCalendario,MONTH(NovDom1+37)=11),NovDom1+37,""))</f>
        <v/>
      </c>
    </row>
    <row r="66" spans="2:39" s="12" customFormat="1" ht="18.899999999999999" customHeight="1" x14ac:dyDescent="0.35">
      <c r="B66" s="49"/>
      <c r="C66" s="13" t="s">
        <v>0</v>
      </c>
      <c r="D66" s="13" t="s">
        <v>1</v>
      </c>
      <c r="E66" s="13" t="s">
        <v>2</v>
      </c>
      <c r="F66" s="13" t="s">
        <v>3</v>
      </c>
      <c r="G66" s="13" t="s">
        <v>4</v>
      </c>
      <c r="H66" s="13" t="s">
        <v>5</v>
      </c>
      <c r="I66" s="13" t="s">
        <v>6</v>
      </c>
      <c r="J66" s="13" t="s">
        <v>0</v>
      </c>
      <c r="K66" s="13" t="s">
        <v>1</v>
      </c>
      <c r="L66" s="13" t="s">
        <v>2</v>
      </c>
      <c r="M66" s="13" t="s">
        <v>3</v>
      </c>
      <c r="N66" s="13" t="s">
        <v>4</v>
      </c>
      <c r="O66" s="13" t="s">
        <v>5</v>
      </c>
      <c r="P66" s="13" t="s">
        <v>6</v>
      </c>
      <c r="Q66" s="13" t="s">
        <v>0</v>
      </c>
      <c r="R66" s="13" t="s">
        <v>1</v>
      </c>
      <c r="S66" s="13" t="s">
        <v>2</v>
      </c>
      <c r="T66" s="13" t="s">
        <v>3</v>
      </c>
      <c r="U66" s="13" t="s">
        <v>4</v>
      </c>
      <c r="V66" s="13" t="s">
        <v>5</v>
      </c>
      <c r="W66" s="13" t="s">
        <v>6</v>
      </c>
      <c r="X66" s="13" t="s">
        <v>0</v>
      </c>
      <c r="Y66" s="13" t="s">
        <v>1</v>
      </c>
      <c r="Z66" s="13" t="s">
        <v>2</v>
      </c>
      <c r="AA66" s="13" t="s">
        <v>3</v>
      </c>
      <c r="AB66" s="13" t="s">
        <v>4</v>
      </c>
      <c r="AC66" s="13" t="s">
        <v>5</v>
      </c>
      <c r="AD66" s="13" t="s">
        <v>6</v>
      </c>
      <c r="AE66" s="13" t="s">
        <v>0</v>
      </c>
      <c r="AF66" s="13" t="s">
        <v>1</v>
      </c>
      <c r="AG66" s="13" t="s">
        <v>2</v>
      </c>
      <c r="AH66" s="13" t="s">
        <v>3</v>
      </c>
      <c r="AI66" s="13" t="s">
        <v>4</v>
      </c>
      <c r="AJ66" s="13" t="s">
        <v>5</v>
      </c>
      <c r="AK66" s="13" t="s">
        <v>6</v>
      </c>
      <c r="AL66" s="13" t="s">
        <v>0</v>
      </c>
      <c r="AM66" s="16" t="s">
        <v>1</v>
      </c>
    </row>
    <row r="67" spans="2:39" ht="18.899999999999999" customHeight="1" x14ac:dyDescent="0.35">
      <c r="B67" s="10" t="str">
        <f>IF(Trabajo1_Nombre="","",Trabajo1_Nombre)</f>
        <v>Trabajo 1</v>
      </c>
      <c r="C67" s="41" t="str">
        <f t="shared" ref="C67:AM67" si="30">IF(OR(NOT(ISNUMBER(C65)),C65&lt;_xlfn.SINGLE(Trabajo1_DíaInicio)),"",IF(MID(_xlfn.SINGLE(Trabajo1_Patrón),MOD(C65-_xlfn.SINGLE(Trabajo1_DíaInicio),LEN(_xlfn.SINGLE(Trabajo1_Patrón)))+1,1)=_xlfn.SINGLE(Trabajo1_Turno1_Código),1,IF(MID(_xlfn.SINGLE(Trabajo1_Patrón),MOD(C65-_xlfn.SINGLE(Trabajo1_DíaInicio),LEN(_xlfn.SINGLE(Trabajo1_Patrón)))+1,1)=_xlfn.SINGLE(Trabajo1_Turno2_Código),2,IF(MID(_xlfn.SINGLE(Trabajo1_Patrón),MOD(C65-_xlfn.SINGLE(Trabajo1_DíaInicio),LEN(_xlfn.SINGLE(Trabajo1_Patrón)))+1,1)=_xlfn.SINGLE(Trabajo1_Turno3_Código),3,""))))</f>
        <v/>
      </c>
      <c r="D67" s="41">
        <f t="shared" si="30"/>
        <v>1</v>
      </c>
      <c r="E67" s="41">
        <f t="shared" si="30"/>
        <v>1</v>
      </c>
      <c r="F67" s="41">
        <f t="shared" si="30"/>
        <v>1</v>
      </c>
      <c r="G67" s="41">
        <f t="shared" si="30"/>
        <v>1</v>
      </c>
      <c r="H67" s="41" t="str">
        <f t="shared" si="30"/>
        <v/>
      </c>
      <c r="I67" s="41" t="str">
        <f t="shared" si="30"/>
        <v/>
      </c>
      <c r="J67" s="41">
        <f t="shared" si="30"/>
        <v>2</v>
      </c>
      <c r="K67" s="41">
        <f t="shared" si="30"/>
        <v>2</v>
      </c>
      <c r="L67" s="41">
        <f t="shared" si="30"/>
        <v>2</v>
      </c>
      <c r="M67" s="41">
        <f t="shared" si="30"/>
        <v>2</v>
      </c>
      <c r="N67" s="41" t="str">
        <f t="shared" si="30"/>
        <v/>
      </c>
      <c r="O67" s="41" t="str">
        <f t="shared" si="30"/>
        <v/>
      </c>
      <c r="P67" s="41">
        <f t="shared" si="30"/>
        <v>1</v>
      </c>
      <c r="Q67" s="41">
        <f t="shared" si="30"/>
        <v>1</v>
      </c>
      <c r="R67" s="41">
        <f t="shared" si="30"/>
        <v>1</v>
      </c>
      <c r="S67" s="41" t="str">
        <f t="shared" si="30"/>
        <v/>
      </c>
      <c r="T67" s="41">
        <f t="shared" si="30"/>
        <v>2</v>
      </c>
      <c r="U67" s="41">
        <f t="shared" si="30"/>
        <v>2</v>
      </c>
      <c r="V67" s="41">
        <f t="shared" si="30"/>
        <v>2</v>
      </c>
      <c r="W67" s="41" t="str">
        <f t="shared" si="30"/>
        <v/>
      </c>
      <c r="X67" s="41" t="str">
        <f t="shared" si="30"/>
        <v/>
      </c>
      <c r="Y67" s="41" t="str">
        <f t="shared" si="30"/>
        <v/>
      </c>
      <c r="Z67" s="41">
        <f t="shared" si="30"/>
        <v>1</v>
      </c>
      <c r="AA67" s="41">
        <f t="shared" si="30"/>
        <v>1</v>
      </c>
      <c r="AB67" s="41" t="str">
        <f t="shared" si="30"/>
        <v/>
      </c>
      <c r="AC67" s="41">
        <f t="shared" si="30"/>
        <v>2</v>
      </c>
      <c r="AD67" s="41">
        <f t="shared" si="30"/>
        <v>2</v>
      </c>
      <c r="AE67" s="41" t="str">
        <f t="shared" si="30"/>
        <v/>
      </c>
      <c r="AF67" s="41" t="str">
        <f t="shared" si="30"/>
        <v/>
      </c>
      <c r="AG67" s="41" t="str">
        <f t="shared" si="30"/>
        <v/>
      </c>
      <c r="AH67" s="41" t="str">
        <f t="shared" si="30"/>
        <v/>
      </c>
      <c r="AI67" s="41" t="str">
        <f t="shared" si="30"/>
        <v/>
      </c>
      <c r="AJ67" s="41" t="str">
        <f t="shared" si="30"/>
        <v/>
      </c>
      <c r="AK67" s="41" t="str">
        <f t="shared" si="30"/>
        <v/>
      </c>
      <c r="AL67" s="41" t="str">
        <f t="shared" si="30"/>
        <v/>
      </c>
      <c r="AM67" s="41" t="str">
        <f t="shared" si="30"/>
        <v/>
      </c>
    </row>
    <row r="68" spans="2:39" ht="18.899999999999999" customHeight="1" x14ac:dyDescent="0.35">
      <c r="B68" s="11" t="str">
        <f>IF(Trabajo2_Nombre="","",Trabajo2_Nombre)</f>
        <v>Trabajo 2</v>
      </c>
      <c r="C68" s="42" t="str">
        <f t="shared" ref="C68:AM68" si="31">IF(OR(NOT(ISNUMBER(C65)),C65&lt;_xlfn.SINGLE(Trabajo2_DíaInicio)),"",IF(MID(_xlfn.SINGLE(Trabajo2_Patrón),MOD(C65-_xlfn.SINGLE(Trabajo2_DíaInicio),LEN(_xlfn.SINGLE(Trabajo2_Patrón)))+1,1)=_xlfn.SINGLE(Trabajo2_Turno1_Código),1,IF(MID(_xlfn.SINGLE(Trabajo2_Patrón),MOD(C65-_xlfn.SINGLE(Trabajo2_DíaInicio),LEN(_xlfn.SINGLE(Trabajo2_Patrón)))+1,1)=_xlfn.SINGLE(Trabajo2_Turno2_Código),2,IF(MID(_xlfn.SINGLE(Trabajo2_Patrón),MOD(C65-_xlfn.SINGLE(Trabajo2_DíaInicio),LEN(_xlfn.SINGLE(Trabajo2_Patrón)))+1,1)=_xlfn.SINGLE(Trabajo2_Turno3_Código),3,""))))</f>
        <v/>
      </c>
      <c r="D68" s="42" t="str">
        <f t="shared" si="31"/>
        <v/>
      </c>
      <c r="E68" s="42" t="str">
        <f t="shared" si="31"/>
        <v/>
      </c>
      <c r="F68" s="42">
        <f t="shared" si="31"/>
        <v>2</v>
      </c>
      <c r="G68" s="42">
        <f t="shared" si="31"/>
        <v>2</v>
      </c>
      <c r="H68" s="42" t="str">
        <f t="shared" si="31"/>
        <v/>
      </c>
      <c r="I68" s="42">
        <f t="shared" si="31"/>
        <v>1</v>
      </c>
      <c r="J68" s="42">
        <f t="shared" si="31"/>
        <v>1</v>
      </c>
      <c r="K68" s="42" t="str">
        <f t="shared" si="31"/>
        <v/>
      </c>
      <c r="L68" s="42" t="str">
        <f t="shared" si="31"/>
        <v/>
      </c>
      <c r="M68" s="42" t="str">
        <f t="shared" si="31"/>
        <v/>
      </c>
      <c r="N68" s="42">
        <f t="shared" si="31"/>
        <v>2</v>
      </c>
      <c r="O68" s="42">
        <f t="shared" si="31"/>
        <v>2</v>
      </c>
      <c r="P68" s="42">
        <f t="shared" si="31"/>
        <v>2</v>
      </c>
      <c r="Q68" s="42">
        <f t="shared" si="31"/>
        <v>2</v>
      </c>
      <c r="R68" s="42" t="str">
        <f t="shared" si="31"/>
        <v/>
      </c>
      <c r="S68" s="42" t="str">
        <f t="shared" si="31"/>
        <v/>
      </c>
      <c r="T68" s="42" t="str">
        <f t="shared" si="31"/>
        <v/>
      </c>
      <c r="U68" s="42" t="str">
        <f t="shared" si="31"/>
        <v/>
      </c>
      <c r="V68" s="42" t="str">
        <f t="shared" si="31"/>
        <v/>
      </c>
      <c r="W68" s="42">
        <f t="shared" si="31"/>
        <v>1</v>
      </c>
      <c r="X68" s="42" t="str">
        <f t="shared" si="31"/>
        <v/>
      </c>
      <c r="Y68" s="42" t="str">
        <f t="shared" si="31"/>
        <v/>
      </c>
      <c r="Z68" s="42">
        <f t="shared" si="31"/>
        <v>2</v>
      </c>
      <c r="AA68" s="42">
        <f t="shared" si="31"/>
        <v>2</v>
      </c>
      <c r="AB68" s="42">
        <f t="shared" si="31"/>
        <v>2</v>
      </c>
      <c r="AC68" s="42" t="str">
        <f t="shared" si="31"/>
        <v/>
      </c>
      <c r="AD68" s="42" t="str">
        <f t="shared" si="31"/>
        <v/>
      </c>
      <c r="AE68" s="42">
        <f t="shared" si="31"/>
        <v>1</v>
      </c>
      <c r="AF68" s="42">
        <f t="shared" si="31"/>
        <v>1</v>
      </c>
      <c r="AG68" s="42" t="str">
        <f t="shared" si="31"/>
        <v/>
      </c>
      <c r="AH68" s="42" t="str">
        <f t="shared" si="31"/>
        <v/>
      </c>
      <c r="AI68" s="42" t="str">
        <f t="shared" si="31"/>
        <v/>
      </c>
      <c r="AJ68" s="42" t="str">
        <f t="shared" si="31"/>
        <v/>
      </c>
      <c r="AK68" s="42" t="str">
        <f t="shared" si="31"/>
        <v/>
      </c>
      <c r="AL68" s="42" t="str">
        <f t="shared" si="31"/>
        <v/>
      </c>
      <c r="AM68" s="42" t="str">
        <f t="shared" si="31"/>
        <v/>
      </c>
    </row>
    <row r="69" spans="2:39" ht="18.899999999999999" customHeight="1" x14ac:dyDescent="0.35">
      <c r="B69" s="11" t="str">
        <f>_xlfn.SINGLE(IF(_xlfn.SINGLE(Trabajo3_Nombre)="","",Trabajo3_Nombre))</f>
        <v>Trabajo 3</v>
      </c>
      <c r="C69" s="42" t="str">
        <f t="shared" ref="C69:AM69" si="32">IF(OR(NOT(ISNUMBER(C65)),C65&lt;_xlfn.SINGLE(Trabajo3_DíaInicio)),"",IF(MID(_xlfn.SINGLE(Trabajo3_Patrón),MOD(C65-_xlfn.SINGLE(Trabajo3_DíaInicio),LEN(_xlfn.SINGLE(Trabajo3_Patrón)))+1,1)=_xlfn.SINGLE(Trabajo3_Turno1_Código),1,IF(MID(_xlfn.SINGLE(Trabajo3_Patrón),MOD(C65-_xlfn.SINGLE(Trabajo3_DíaInicio),LEN(_xlfn.SINGLE(Trabajo3_Patrón)))+1,1)=_xlfn.SINGLE(Trabajo3_Turno2_Código),2,IF(MID(_xlfn.SINGLE(Trabajo3_Patrón),MOD(C65-_xlfn.SINGLE(Trabajo3_DíaInicio),LEN(_xlfn.SINGLE(Trabajo3_Patrón)))+1,1)=_xlfn.SINGLE(Trabajo3_Turno3_Código),3,""))))</f>
        <v/>
      </c>
      <c r="D69" s="42" t="str">
        <f t="shared" si="32"/>
        <v/>
      </c>
      <c r="E69" s="42" t="str">
        <f t="shared" si="32"/>
        <v/>
      </c>
      <c r="F69" s="42">
        <f t="shared" si="32"/>
        <v>3</v>
      </c>
      <c r="G69" s="42" t="str">
        <f t="shared" si="32"/>
        <v/>
      </c>
      <c r="H69" s="42" t="str">
        <f t="shared" si="32"/>
        <v/>
      </c>
      <c r="I69" s="42" t="str">
        <f t="shared" si="32"/>
        <v/>
      </c>
      <c r="J69" s="42" t="str">
        <f t="shared" si="32"/>
        <v/>
      </c>
      <c r="K69" s="42" t="str">
        <f t="shared" si="32"/>
        <v/>
      </c>
      <c r="L69" s="42" t="str">
        <f t="shared" si="32"/>
        <v/>
      </c>
      <c r="M69" s="42">
        <f t="shared" si="32"/>
        <v>3</v>
      </c>
      <c r="N69" s="42">
        <f t="shared" si="32"/>
        <v>3</v>
      </c>
      <c r="O69" s="42" t="str">
        <f t="shared" si="32"/>
        <v/>
      </c>
      <c r="P69" s="42" t="str">
        <f t="shared" si="32"/>
        <v/>
      </c>
      <c r="Q69" s="42" t="str">
        <f t="shared" si="32"/>
        <v/>
      </c>
      <c r="R69" s="42">
        <f t="shared" si="32"/>
        <v>3</v>
      </c>
      <c r="S69" s="42">
        <f t="shared" si="32"/>
        <v>3</v>
      </c>
      <c r="T69" s="42" t="str">
        <f t="shared" si="32"/>
        <v/>
      </c>
      <c r="U69" s="42" t="str">
        <f t="shared" si="32"/>
        <v/>
      </c>
      <c r="V69" s="42" t="str">
        <f t="shared" si="32"/>
        <v/>
      </c>
      <c r="W69" s="42" t="str">
        <f t="shared" si="32"/>
        <v/>
      </c>
      <c r="X69" s="42">
        <f t="shared" si="32"/>
        <v>3</v>
      </c>
      <c r="Y69" s="42">
        <f t="shared" si="32"/>
        <v>3</v>
      </c>
      <c r="Z69" s="42" t="str">
        <f t="shared" si="32"/>
        <v/>
      </c>
      <c r="AA69" s="42" t="str">
        <f t="shared" si="32"/>
        <v/>
      </c>
      <c r="AB69" s="42" t="str">
        <f t="shared" si="32"/>
        <v/>
      </c>
      <c r="AC69" s="42" t="str">
        <f t="shared" si="32"/>
        <v/>
      </c>
      <c r="AD69" s="42">
        <f t="shared" si="32"/>
        <v>3</v>
      </c>
      <c r="AE69" s="42">
        <f t="shared" si="32"/>
        <v>3</v>
      </c>
      <c r="AF69" s="42">
        <f t="shared" si="32"/>
        <v>3</v>
      </c>
      <c r="AG69" s="42" t="str">
        <f t="shared" si="32"/>
        <v/>
      </c>
      <c r="AH69" s="42" t="str">
        <f t="shared" si="32"/>
        <v/>
      </c>
      <c r="AI69" s="42" t="str">
        <f t="shared" si="32"/>
        <v/>
      </c>
      <c r="AJ69" s="42" t="str">
        <f t="shared" si="32"/>
        <v/>
      </c>
      <c r="AK69" s="42" t="str">
        <f t="shared" si="32"/>
        <v/>
      </c>
      <c r="AL69" s="42" t="str">
        <f t="shared" si="32"/>
        <v/>
      </c>
      <c r="AM69" s="42" t="str">
        <f t="shared" si="32"/>
        <v/>
      </c>
    </row>
    <row r="70" spans="2:39" ht="12" customHeight="1" x14ac:dyDescent="0.35"/>
    <row r="71" spans="2:39" s="12" customFormat="1" ht="18.899999999999999" customHeight="1" x14ac:dyDescent="0.35">
      <c r="B71" s="48">
        <f>DATE(AñoCalendario,12,1)</f>
        <v>44531</v>
      </c>
      <c r="C71" s="14" t="str" cm="1">
        <f t="array" ref="C71">IF(DAY(DicDom1)=1,"",IF(AND(YEAR(DicDom1+1)=AñoCalendario,MONTH(DicDom1+1)=12),DicDom1+1,""))</f>
        <v/>
      </c>
      <c r="D71" s="14" t="str" cm="1">
        <f t="array" ref="D71">IF(DAY(DicDom1)=1,"",IF(AND(YEAR(DicDom1+2)=AñoCalendario,MONTH(DicDom1+2)=12),DicDom1+2,""))</f>
        <v/>
      </c>
      <c r="E71" s="14" t="str" cm="1">
        <f t="array" ref="E71">IF(DAY(DicDom1)=1,"",IF(AND(YEAR(DicDom1+3)=AñoCalendario,MONTH(DicDom1+3)=12),DicDom1+3,""))</f>
        <v/>
      </c>
      <c r="F71" s="14" cm="1">
        <f t="array" ref="F71">IF(DAY(DicDom1)=1,"",IF(AND(YEAR(DicDom1+4)=AñoCalendario,MONTH(DicDom1+4)=12),DicDom1+4,""))</f>
        <v>44531</v>
      </c>
      <c r="G71" s="14" cm="1">
        <f t="array" ref="G71">IF(DAY(DicDom1)=1,"",IF(AND(YEAR(DicDom1+5)=AñoCalendario,MONTH(DicDom1+5)=12),DicDom1+5,""))</f>
        <v>44532</v>
      </c>
      <c r="H71" s="14" cm="1">
        <f t="array" ref="H71">IF(DAY(DicDom1)=1,"",IF(AND(YEAR(DicDom1+6)=AñoCalendario,MONTH(DicDom1+6)=12),DicDom1+6,""))</f>
        <v>44533</v>
      </c>
      <c r="I71" s="14" cm="1">
        <f t="array" ref="I71">_xlfn.SINGLE(IF(DAY(DicDom1)=1,IF(AND(YEAR(DicDom1)=AñoCalendario,MONTH(DicDom1)=12),DecSun1,""),IF(AND(YEAR(DicDom1+7)=AñoCalendario,MONTH(DicDom1+7)=12),DicDom1+7,"")))</f>
        <v>44534</v>
      </c>
      <c r="J71" s="14" cm="1">
        <f t="array" ref="J71">IF(DAY(DicDom1)=1,IF(AND(YEAR(DicDom1+1)=AñoCalendario,MONTH(DicDom1+1)=12),DicDom1+1,""),IF(AND(YEAR(DicDom1+8)=AñoCalendario,MONTH(DicDom1+8)=12),DicDom1+8,""))</f>
        <v>44535</v>
      </c>
      <c r="K71" s="14" cm="1">
        <f t="array" ref="K71">IF(DAY(DicDom1)=1,IF(AND(YEAR(DicDom1+2)=AñoCalendario,MONTH(DicDom1+2)=12),DicDom1+2,""),IF(AND(YEAR(DicDom1+9)=AñoCalendario,MONTH(DicDom1+9)=12),DicDom1+9,""))</f>
        <v>44536</v>
      </c>
      <c r="L71" s="14" cm="1">
        <f t="array" ref="L71">IF(DAY(DicDom1)=1,IF(AND(YEAR(DicDom1+3)=AñoCalendario,MONTH(DicDom1+3)=12),DicDom1+3,""),IF(AND(YEAR(DicDom1+10)=AñoCalendario,MONTH(DicDom1+10)=12),DicDom1+10,""))</f>
        <v>44537</v>
      </c>
      <c r="M71" s="14" cm="1">
        <f t="array" ref="M71">IF(DAY(DicDom1)=1,IF(AND(YEAR(DicDom1+4)=AñoCalendario,MONTH(DicDom1+4)=12),DicDom1+4,""),IF(AND(YEAR(DicDom1+11)=AñoCalendario,MONTH(DicDom1+11)=12),DicDom1+11,""))</f>
        <v>44538</v>
      </c>
      <c r="N71" s="14" cm="1">
        <f t="array" ref="N71">IF(DAY(DicDom1)=1,IF(AND(YEAR(DicDom1+5)=AñoCalendario,MONTH(DicDom1+5)=12),DicDom1+5,""),IF(AND(YEAR(DicDom1+12)=AñoCalendario,MONTH(DicDom1+12)=12),DicDom1+12,""))</f>
        <v>44539</v>
      </c>
      <c r="O71" s="14" cm="1">
        <f t="array" ref="O71">IF(DAY(DicDom1)=1,IF(AND(YEAR(DicDom1+6)=AñoCalendario,MONTH(DicDom1+6)=12),DicDom1+6,""),IF(AND(YEAR(DicDom1+13)=AñoCalendario,MONTH(DicDom1+13)=12),DicDom1+13,""))</f>
        <v>44540</v>
      </c>
      <c r="P71" s="14" cm="1">
        <f t="array" ref="P71">IF(DAY(DicDom1)=1,IF(AND(YEAR(DicDom1+7)=AñoCalendario,MONTH(DicDom1+7)=12),DicDom1+7,""),IF(AND(YEAR(DicDom1+14)=AñoCalendario,MONTH(DicDom1+14)=12),DicDom1+14,""))</f>
        <v>44541</v>
      </c>
      <c r="Q71" s="14" cm="1">
        <f t="array" ref="Q71">IF(DAY(DicDom1)=1,IF(AND(YEAR(DicDom1+8)=AñoCalendario,MONTH(DicDom1+8)=12),DicDom1+8,""),IF(AND(YEAR(DicDom1+15)=AñoCalendario,MONTH(DicDom1+15)=12),DicDom1+15,""))</f>
        <v>44542</v>
      </c>
      <c r="R71" s="14" cm="1">
        <f t="array" ref="R71">IF(DAY(DicDom1)=1,IF(AND(YEAR(DicDom1+9)=AñoCalendario,MONTH(DicDom1+9)=12),DicDom1+9,""),IF(AND(YEAR(DicDom1+16)=AñoCalendario,MONTH(DicDom1+16)=12),DicDom1+16,""))</f>
        <v>44543</v>
      </c>
      <c r="S71" s="14" cm="1">
        <f t="array" ref="S71">IF(DAY(DicDom1)=1,IF(AND(YEAR(DicDom1+10)=AñoCalendario,MONTH(DicDom1+10)=12),DicDom1+10,""),IF(AND(YEAR(DicDom1+17)=AñoCalendario,MONTH(DicDom1+17)=12),DicDom1+17,""))</f>
        <v>44544</v>
      </c>
      <c r="T71" s="14" cm="1">
        <f t="array" ref="T71">IF(DAY(DicDom1)=1,IF(AND(YEAR(DicDom1+11)=AñoCalendario,MONTH(DicDom1+11)=12),DicDom1+11,""),IF(AND(YEAR(DicDom1+18)=AñoCalendario,MONTH(DicDom1+18)=12),DicDom1+18,""))</f>
        <v>44545</v>
      </c>
      <c r="U71" s="14" cm="1">
        <f t="array" ref="U71">IF(DAY(DicDom1)=1,IF(AND(YEAR(DicDom1+12)=AñoCalendario,MONTH(DicDom1+12)=12),DicDom1+12,""),IF(AND(YEAR(DicDom1+19)=AñoCalendario,MONTH(DicDom1+19)=12),DicDom1+19,""))</f>
        <v>44546</v>
      </c>
      <c r="V71" s="14" cm="1">
        <f t="array" ref="V71">IF(DAY(DicDom1)=1,IF(AND(YEAR(DicDom1+13)=AñoCalendario,MONTH(DicDom1+13)=12),DicDom1+13,""),IF(AND(YEAR(DicDom1+20)=AñoCalendario,MONTH(DicDom1+20)=12),DicDom1+20,""))</f>
        <v>44547</v>
      </c>
      <c r="W71" s="14" cm="1">
        <f t="array" ref="W71">IF(DAY(DicDom1)=1,IF(AND(YEAR(DicDom1+14)=AñoCalendario,MONTH(DicDom1+14)=12),DicDom1+14,""),IF(AND(YEAR(DicDom1+21)=AñoCalendario,MONTH(DicDom1+21)=12),DicDom1+21,""))</f>
        <v>44548</v>
      </c>
      <c r="X71" s="14" cm="1">
        <f t="array" ref="X71">IF(DAY(DicDom1)=1,IF(AND(YEAR(DicDom1+15)=AñoCalendario,MONTH(DicDom1+15)=12),DicDom1+15,""),IF(AND(YEAR(DicDom1+22)=AñoCalendario,MONTH(DicDom1+22)=12),DicDom1+22,""))</f>
        <v>44549</v>
      </c>
      <c r="Y71" s="14" cm="1">
        <f t="array" ref="Y71">IF(DAY(DicDom1)=1,IF(AND(YEAR(DicDom1+16)=AñoCalendario,MONTH(DicDom1+16)=12),DicDom1+16,""),IF(AND(YEAR(DicDom1+23)=AñoCalendario,MONTH(DicDom1+23)=12),DicDom1+23,""))</f>
        <v>44550</v>
      </c>
      <c r="Z71" s="14" cm="1">
        <f t="array" ref="Z71">IF(DAY(DicDom1)=1,IF(AND(YEAR(DicDom1+17)=AñoCalendario,MONTH(DicDom1+17)=12),DicDom1+17,""),IF(AND(YEAR(DicDom1+24)=AñoCalendario,MONTH(DicDom1+24)=12),DicDom1+24,""))</f>
        <v>44551</v>
      </c>
      <c r="AA71" s="14" cm="1">
        <f t="array" ref="AA71">IF(DAY(DicDom1)=1,IF(AND(YEAR(DicDom1+18)=AñoCalendario,MONTH(DicDom1+18)=12),DicDom1+18,""),IF(AND(YEAR(DicDom1+25)=AñoCalendario,MONTH(DicDom1+25)=12),DicDom1+25,""))</f>
        <v>44552</v>
      </c>
      <c r="AB71" s="14" cm="1">
        <f t="array" ref="AB71">IF(DAY(DicDom1)=1,IF(AND(YEAR(DicDom1+19)=AñoCalendario,MONTH(DicDom1+19)=12),DicDom1+19,""),IF(AND(YEAR(DicDom1+26)=AñoCalendario,MONTH(DicDom1+26)=12),DicDom1+26,""))</f>
        <v>44553</v>
      </c>
      <c r="AC71" s="14" cm="1">
        <f t="array" ref="AC71">IF(DAY(DicDom1)=1,IF(AND(YEAR(DicDom1+20)=AñoCalendario,MONTH(DicDom1+20)=12),DicDom1+20,""),IF(AND(YEAR(DicDom1+27)=AñoCalendario,MONTH(DicDom1+27)=12),DicDom1+27,""))</f>
        <v>44554</v>
      </c>
      <c r="AD71" s="14" cm="1">
        <f t="array" ref="AD71">IF(DAY(DicDom1)=1,IF(AND(YEAR(DicDom1+21)=AñoCalendario,MONTH(DicDom1+21)=12),DicDom1+21,""),IF(AND(YEAR(DicDom1+28)=AñoCalendario,MONTH(DicDom1+28)=12),DicDom1+28,""))</f>
        <v>44555</v>
      </c>
      <c r="AE71" s="14" cm="1">
        <f t="array" ref="AE71">IF(DAY(DicDom1)=1,IF(AND(YEAR(DicDom1+22)=AñoCalendario,MONTH(DicDom1+22)=12),DicDom1+22,""),IF(AND(YEAR(DicDom1+29)=AñoCalendario,MONTH(DicDom1+29)=12),DicDom1+29,""))</f>
        <v>44556</v>
      </c>
      <c r="AF71" s="14" cm="1">
        <f t="array" ref="AF71">IF(DAY(DicDom1)=1,IF(AND(YEAR(DicDom1+23)=AñoCalendario,MONTH(DicDom1+23)=12),DicDom1+23,""),IF(AND(YEAR(DicDom1+30)=AñoCalendario,MONTH(DicDom1+30)=12),DicDom1+30,""))</f>
        <v>44557</v>
      </c>
      <c r="AG71" s="14" cm="1">
        <f t="array" ref="AG71">IF(DAY(DicDom1)=1,IF(AND(YEAR(DicDom1+24)=AñoCalendario,MONTH(DicDom1+24)=12),DicDom1+24,""),IF(AND(YEAR(DicDom1+31)=AñoCalendario,MONTH(DicDom1+31)=12),DicDom1+31,""))</f>
        <v>44558</v>
      </c>
      <c r="AH71" s="14" cm="1">
        <f t="array" ref="AH71">IF(DAY(DicDom1)=1,IF(AND(YEAR(DicDom1+25)=AñoCalendario,MONTH(DicDom1+25)=12),DicDom1+25,""),IF(AND(YEAR(DicDom1+32)=AñoCalendario,MONTH(DicDom1+32)=12),DicDom1+32,""))</f>
        <v>44559</v>
      </c>
      <c r="AI71" s="14" cm="1">
        <f t="array" ref="AI71">IF(DAY(DicDom1)=1,IF(AND(YEAR(DicDom1+26)=AñoCalendario,MONTH(DicDom1+26)=12),DicDom1+26,""),IF(AND(YEAR(DicDom1+33)=AñoCalendario,MONTH(DicDom1+33)=12),DicDom1+33,""))</f>
        <v>44560</v>
      </c>
      <c r="AJ71" s="14" cm="1">
        <f t="array" ref="AJ71">IF(DAY(DicDom1)=1,IF(AND(YEAR(DicDom1+27)=AñoCalendario,MONTH(DicDom1+27)=12),DicDom1+27,""),IF(AND(YEAR(DicDom1+34)=AñoCalendario,MONTH(DicDom1+34)=12),DicDom1+34,""))</f>
        <v>44561</v>
      </c>
      <c r="AK71" s="14" t="str" cm="1">
        <f t="array" ref="AK71">IF(DAY(DicDom1)=1,IF(AND(YEAR(DicDom1+28)=AñoCalendario,MONTH(DicDom1+28)=12),DicDom1+28,""),IF(AND(YEAR(DicDom1+35)=AñoCalendario,MONTH(DicDom1+35)=12),DicDom1+35,""))</f>
        <v/>
      </c>
      <c r="AL71" s="14" t="str" cm="1">
        <f t="array" ref="AL71">IF(DAY(DicDom1)=1,IF(AND(YEAR(DicDom1+29)=AñoCalendario,MONTH(DicDom1+29)=12),DicDom1+29,""),IF(AND(YEAR(DicDom1+36)=AñoCalendario,MONTH(DicDom1+36)=12),DicDom1+36,""))</f>
        <v/>
      </c>
      <c r="AM71" s="15" t="str" cm="1">
        <f t="array" ref="AM71">IF(DAY(DicDom1)=1,IF(AND(YEAR(DicDom1+30)=AñoCalendario,MONTH(DicDom1+30)=12),DicDom1+30,""),IF(AND(YEAR(DicDom1+37)=AñoCalendario,MONTH(DicDom1+37)=12),DicDom1+37,""))</f>
        <v/>
      </c>
    </row>
    <row r="72" spans="2:39" s="12" customFormat="1" ht="18.899999999999999" customHeight="1" x14ac:dyDescent="0.35">
      <c r="B72" s="49"/>
      <c r="C72" s="13" t="s">
        <v>0</v>
      </c>
      <c r="D72" s="13" t="s">
        <v>1</v>
      </c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0</v>
      </c>
      <c r="K72" s="13" t="s">
        <v>1</v>
      </c>
      <c r="L72" s="13" t="s">
        <v>2</v>
      </c>
      <c r="M72" s="13" t="s">
        <v>3</v>
      </c>
      <c r="N72" s="13" t="s">
        <v>4</v>
      </c>
      <c r="O72" s="13" t="s">
        <v>5</v>
      </c>
      <c r="P72" s="13" t="s">
        <v>6</v>
      </c>
      <c r="Q72" s="13" t="s">
        <v>0</v>
      </c>
      <c r="R72" s="13" t="s">
        <v>1</v>
      </c>
      <c r="S72" s="13" t="s">
        <v>2</v>
      </c>
      <c r="T72" s="13" t="s">
        <v>3</v>
      </c>
      <c r="U72" s="13" t="s">
        <v>4</v>
      </c>
      <c r="V72" s="13" t="s">
        <v>5</v>
      </c>
      <c r="W72" s="13" t="s">
        <v>6</v>
      </c>
      <c r="X72" s="13" t="s">
        <v>0</v>
      </c>
      <c r="Y72" s="13" t="s">
        <v>1</v>
      </c>
      <c r="Z72" s="13" t="s">
        <v>2</v>
      </c>
      <c r="AA72" s="13" t="s">
        <v>3</v>
      </c>
      <c r="AB72" s="13" t="s">
        <v>4</v>
      </c>
      <c r="AC72" s="13" t="s">
        <v>5</v>
      </c>
      <c r="AD72" s="13" t="s">
        <v>6</v>
      </c>
      <c r="AE72" s="13" t="s">
        <v>0</v>
      </c>
      <c r="AF72" s="13" t="s">
        <v>1</v>
      </c>
      <c r="AG72" s="13" t="s">
        <v>2</v>
      </c>
      <c r="AH72" s="13" t="s">
        <v>3</v>
      </c>
      <c r="AI72" s="13" t="s">
        <v>4</v>
      </c>
      <c r="AJ72" s="13" t="s">
        <v>5</v>
      </c>
      <c r="AK72" s="13" t="s">
        <v>6</v>
      </c>
      <c r="AL72" s="13" t="s">
        <v>0</v>
      </c>
      <c r="AM72" s="16" t="s">
        <v>1</v>
      </c>
    </row>
    <row r="73" spans="2:39" ht="18.899999999999999" customHeight="1" x14ac:dyDescent="0.35">
      <c r="B73" s="10" t="str">
        <f>IF(Trabajo1_Nombre="","",Trabajo1_Nombre)</f>
        <v>Trabajo 1</v>
      </c>
      <c r="C73" s="41" t="str">
        <f t="shared" ref="C73:AM73" si="33">IF(OR(NOT(ISNUMBER(C71)),C71&lt;_xlfn.SINGLE(Trabajo1_DíaInicio)),"",IF(MID(_xlfn.SINGLE(Trabajo1_Patrón),MOD(C71-_xlfn.SINGLE(Trabajo1_DíaInicio),LEN(_xlfn.SINGLE(Trabajo1_Patrón)))+1,1)=_xlfn.SINGLE(Trabajo1_Turno1_Código),1,IF(MID(_xlfn.SINGLE(Trabajo1_Patrón),MOD(C71-_xlfn.SINGLE(Trabajo1_DíaInicio),LEN(_xlfn.SINGLE(Trabajo1_Patrón)))+1,1)=_xlfn.SINGLE(Trabajo1_Turno2_Código),2,IF(MID(_xlfn.SINGLE(Trabajo1_Patrón),MOD(C71-_xlfn.SINGLE(Trabajo1_DíaInicio),LEN(_xlfn.SINGLE(Trabajo1_Patrón)))+1,1)=_xlfn.SINGLE(Trabajo1_Turno3_Código),3,""))))</f>
        <v/>
      </c>
      <c r="D73" s="41" t="str">
        <f t="shared" si="33"/>
        <v/>
      </c>
      <c r="E73" s="41" t="str">
        <f t="shared" si="33"/>
        <v/>
      </c>
      <c r="F73" s="41">
        <f t="shared" si="33"/>
        <v>1</v>
      </c>
      <c r="G73" s="41">
        <f t="shared" si="33"/>
        <v>1</v>
      </c>
      <c r="H73" s="41">
        <f t="shared" si="33"/>
        <v>1</v>
      </c>
      <c r="I73" s="41">
        <f t="shared" si="33"/>
        <v>1</v>
      </c>
      <c r="J73" s="41" t="str">
        <f t="shared" si="33"/>
        <v/>
      </c>
      <c r="K73" s="41" t="str">
        <f t="shared" si="33"/>
        <v/>
      </c>
      <c r="L73" s="41">
        <f t="shared" si="33"/>
        <v>2</v>
      </c>
      <c r="M73" s="41">
        <f t="shared" si="33"/>
        <v>2</v>
      </c>
      <c r="N73" s="41">
        <f t="shared" si="33"/>
        <v>2</v>
      </c>
      <c r="O73" s="41">
        <f t="shared" si="33"/>
        <v>2</v>
      </c>
      <c r="P73" s="41" t="str">
        <f t="shared" si="33"/>
        <v/>
      </c>
      <c r="Q73" s="41" t="str">
        <f t="shared" si="33"/>
        <v/>
      </c>
      <c r="R73" s="41">
        <f t="shared" si="33"/>
        <v>1</v>
      </c>
      <c r="S73" s="41">
        <f t="shared" si="33"/>
        <v>1</v>
      </c>
      <c r="T73" s="41">
        <f t="shared" si="33"/>
        <v>1</v>
      </c>
      <c r="U73" s="41" t="str">
        <f t="shared" si="33"/>
        <v/>
      </c>
      <c r="V73" s="41">
        <f t="shared" si="33"/>
        <v>2</v>
      </c>
      <c r="W73" s="41">
        <f t="shared" si="33"/>
        <v>2</v>
      </c>
      <c r="X73" s="41">
        <f t="shared" si="33"/>
        <v>2</v>
      </c>
      <c r="Y73" s="41" t="str">
        <f t="shared" si="33"/>
        <v/>
      </c>
      <c r="Z73" s="41" t="str">
        <f t="shared" si="33"/>
        <v/>
      </c>
      <c r="AA73" s="41" t="str">
        <f t="shared" si="33"/>
        <v/>
      </c>
      <c r="AB73" s="41">
        <f t="shared" si="33"/>
        <v>1</v>
      </c>
      <c r="AC73" s="41">
        <f t="shared" si="33"/>
        <v>1</v>
      </c>
      <c r="AD73" s="41" t="str">
        <f t="shared" si="33"/>
        <v/>
      </c>
      <c r="AE73" s="41">
        <f t="shared" si="33"/>
        <v>2</v>
      </c>
      <c r="AF73" s="41">
        <f t="shared" si="33"/>
        <v>2</v>
      </c>
      <c r="AG73" s="41" t="str">
        <f t="shared" si="33"/>
        <v/>
      </c>
      <c r="AH73" s="41" t="str">
        <f t="shared" si="33"/>
        <v/>
      </c>
      <c r="AI73" s="41" t="str">
        <f t="shared" si="33"/>
        <v/>
      </c>
      <c r="AJ73" s="41">
        <f t="shared" si="33"/>
        <v>1</v>
      </c>
      <c r="AK73" s="41" t="str">
        <f t="shared" si="33"/>
        <v/>
      </c>
      <c r="AL73" s="41" t="str">
        <f t="shared" si="33"/>
        <v/>
      </c>
      <c r="AM73" s="41" t="str">
        <f t="shared" si="33"/>
        <v/>
      </c>
    </row>
    <row r="74" spans="2:39" ht="18.899999999999999" customHeight="1" x14ac:dyDescent="0.35">
      <c r="B74" s="11" t="str">
        <f>IF(Trabajo2_Nombre="","",Trabajo2_Nombre)</f>
        <v>Trabajo 2</v>
      </c>
      <c r="C74" s="42" t="str">
        <f t="shared" ref="C74:AM74" si="34">IF(OR(NOT(ISNUMBER(C71)),C71&lt;_xlfn.SINGLE(Trabajo2_DíaInicio)),"",IF(MID(_xlfn.SINGLE(Trabajo2_Patrón),MOD(C71-_xlfn.SINGLE(Trabajo2_DíaInicio),LEN(_xlfn.SINGLE(Trabajo2_Patrón)))+1,1)=_xlfn.SINGLE(Trabajo2_Turno1_Código),1,IF(MID(_xlfn.SINGLE(Trabajo2_Patrón),MOD(C71-_xlfn.SINGLE(Trabajo2_DíaInicio),LEN(_xlfn.SINGLE(Trabajo2_Patrón)))+1,1)=_xlfn.SINGLE(Trabajo2_Turno2_Código),2,IF(MID(_xlfn.SINGLE(Trabajo2_Patrón),MOD(C71-_xlfn.SINGLE(Trabajo2_DíaInicio),LEN(_xlfn.SINGLE(Trabajo2_Patrón)))+1,1)=_xlfn.SINGLE(Trabajo2_Turno3_Código),3,""))))</f>
        <v/>
      </c>
      <c r="D74" s="42" t="str">
        <f t="shared" si="34"/>
        <v/>
      </c>
      <c r="E74" s="42" t="str">
        <f t="shared" si="34"/>
        <v/>
      </c>
      <c r="F74" s="42" t="str">
        <f t="shared" si="34"/>
        <v/>
      </c>
      <c r="G74" s="42" t="str">
        <f t="shared" si="34"/>
        <v/>
      </c>
      <c r="H74" s="42">
        <f t="shared" si="34"/>
        <v>2</v>
      </c>
      <c r="I74" s="42">
        <f t="shared" si="34"/>
        <v>2</v>
      </c>
      <c r="J74" s="42" t="str">
        <f t="shared" si="34"/>
        <v/>
      </c>
      <c r="K74" s="42">
        <f t="shared" si="34"/>
        <v>1</v>
      </c>
      <c r="L74" s="42">
        <f t="shared" si="34"/>
        <v>1</v>
      </c>
      <c r="M74" s="42" t="str">
        <f t="shared" si="34"/>
        <v/>
      </c>
      <c r="N74" s="42" t="str">
        <f t="shared" si="34"/>
        <v/>
      </c>
      <c r="O74" s="42" t="str">
        <f t="shared" si="34"/>
        <v/>
      </c>
      <c r="P74" s="42">
        <f t="shared" si="34"/>
        <v>2</v>
      </c>
      <c r="Q74" s="42">
        <f t="shared" si="34"/>
        <v>2</v>
      </c>
      <c r="R74" s="42">
        <f t="shared" si="34"/>
        <v>2</v>
      </c>
      <c r="S74" s="42">
        <f t="shared" si="34"/>
        <v>2</v>
      </c>
      <c r="T74" s="42" t="str">
        <f t="shared" si="34"/>
        <v/>
      </c>
      <c r="U74" s="42" t="str">
        <f t="shared" si="34"/>
        <v/>
      </c>
      <c r="V74" s="42" t="str">
        <f t="shared" si="34"/>
        <v/>
      </c>
      <c r="W74" s="42" t="str">
        <f t="shared" si="34"/>
        <v/>
      </c>
      <c r="X74" s="42" t="str">
        <f t="shared" si="34"/>
        <v/>
      </c>
      <c r="Y74" s="42">
        <f t="shared" si="34"/>
        <v>1</v>
      </c>
      <c r="Z74" s="42" t="str">
        <f t="shared" si="34"/>
        <v/>
      </c>
      <c r="AA74" s="42" t="str">
        <f t="shared" si="34"/>
        <v/>
      </c>
      <c r="AB74" s="42">
        <f t="shared" si="34"/>
        <v>2</v>
      </c>
      <c r="AC74" s="42">
        <f t="shared" si="34"/>
        <v>2</v>
      </c>
      <c r="AD74" s="42">
        <f t="shared" si="34"/>
        <v>2</v>
      </c>
      <c r="AE74" s="42" t="str">
        <f t="shared" si="34"/>
        <v/>
      </c>
      <c r="AF74" s="42" t="str">
        <f t="shared" si="34"/>
        <v/>
      </c>
      <c r="AG74" s="42">
        <f t="shared" si="34"/>
        <v>1</v>
      </c>
      <c r="AH74" s="42">
        <f t="shared" si="34"/>
        <v>1</v>
      </c>
      <c r="AI74" s="42" t="str">
        <f t="shared" si="34"/>
        <v/>
      </c>
      <c r="AJ74" s="42" t="str">
        <f t="shared" si="34"/>
        <v/>
      </c>
      <c r="AK74" s="42" t="str">
        <f t="shared" si="34"/>
        <v/>
      </c>
      <c r="AL74" s="42" t="str">
        <f t="shared" si="34"/>
        <v/>
      </c>
      <c r="AM74" s="42" t="str">
        <f t="shared" si="34"/>
        <v/>
      </c>
    </row>
    <row r="75" spans="2:39" ht="18.899999999999999" customHeight="1" x14ac:dyDescent="0.35">
      <c r="B75" s="11" t="str">
        <f>_xlfn.SINGLE(IF(_xlfn.SINGLE(Trabajo3_Nombre)="","",Trabajo3_Nombre))</f>
        <v>Trabajo 3</v>
      </c>
      <c r="C75" s="42" t="str">
        <f t="shared" ref="C75:AM75" si="35">IF(OR(NOT(ISNUMBER(C71)),C71&lt;_xlfn.SINGLE(Trabajo3_DíaInicio)),"",IF(MID(_xlfn.SINGLE(Trabajo3_Patrón),MOD(C71-_xlfn.SINGLE(Trabajo3_DíaInicio),LEN(_xlfn.SINGLE(Trabajo3_Patrón)))+1,1)=_xlfn.SINGLE(Trabajo3_Turno1_Código),1,IF(MID(_xlfn.SINGLE(Trabajo3_Patrón),MOD(C71-_xlfn.SINGLE(Trabajo3_DíaInicio),LEN(_xlfn.SINGLE(Trabajo3_Patrón)))+1,1)=_xlfn.SINGLE(Trabajo3_Turno2_Código),2,IF(MID(_xlfn.SINGLE(Trabajo3_Patrón),MOD(C71-_xlfn.SINGLE(Trabajo3_DíaInicio),LEN(_xlfn.SINGLE(Trabajo3_Patrón)))+1,1)=_xlfn.SINGLE(Trabajo3_Turno3_Código),3,""))))</f>
        <v/>
      </c>
      <c r="D75" s="42" t="str">
        <f t="shared" si="35"/>
        <v/>
      </c>
      <c r="E75" s="42" t="str">
        <f t="shared" si="35"/>
        <v/>
      </c>
      <c r="F75" s="42" t="str">
        <f t="shared" si="35"/>
        <v/>
      </c>
      <c r="G75" s="42" t="str">
        <f t="shared" si="35"/>
        <v/>
      </c>
      <c r="H75" s="42">
        <f t="shared" si="35"/>
        <v>3</v>
      </c>
      <c r="I75" s="42" t="str">
        <f t="shared" si="35"/>
        <v/>
      </c>
      <c r="J75" s="42" t="str">
        <f t="shared" si="35"/>
        <v/>
      </c>
      <c r="K75" s="42" t="str">
        <f t="shared" si="35"/>
        <v/>
      </c>
      <c r="L75" s="42" t="str">
        <f t="shared" si="35"/>
        <v/>
      </c>
      <c r="M75" s="42" t="str">
        <f t="shared" si="35"/>
        <v/>
      </c>
      <c r="N75" s="42" t="str">
        <f t="shared" si="35"/>
        <v/>
      </c>
      <c r="O75" s="42">
        <f t="shared" si="35"/>
        <v>3</v>
      </c>
      <c r="P75" s="42">
        <f t="shared" si="35"/>
        <v>3</v>
      </c>
      <c r="Q75" s="42" t="str">
        <f t="shared" si="35"/>
        <v/>
      </c>
      <c r="R75" s="42" t="str">
        <f t="shared" si="35"/>
        <v/>
      </c>
      <c r="S75" s="42" t="str">
        <f t="shared" si="35"/>
        <v/>
      </c>
      <c r="T75" s="42">
        <f t="shared" si="35"/>
        <v>3</v>
      </c>
      <c r="U75" s="42">
        <f t="shared" si="35"/>
        <v>3</v>
      </c>
      <c r="V75" s="42" t="str">
        <f t="shared" si="35"/>
        <v/>
      </c>
      <c r="W75" s="42" t="str">
        <f t="shared" si="35"/>
        <v/>
      </c>
      <c r="X75" s="42" t="str">
        <f t="shared" si="35"/>
        <v/>
      </c>
      <c r="Y75" s="42" t="str">
        <f t="shared" si="35"/>
        <v/>
      </c>
      <c r="Z75" s="42">
        <f t="shared" si="35"/>
        <v>3</v>
      </c>
      <c r="AA75" s="42">
        <f t="shared" si="35"/>
        <v>3</v>
      </c>
      <c r="AB75" s="42" t="str">
        <f t="shared" si="35"/>
        <v/>
      </c>
      <c r="AC75" s="42" t="str">
        <f t="shared" si="35"/>
        <v/>
      </c>
      <c r="AD75" s="42" t="str">
        <f t="shared" si="35"/>
        <v/>
      </c>
      <c r="AE75" s="42" t="str">
        <f t="shared" si="35"/>
        <v/>
      </c>
      <c r="AF75" s="42">
        <f t="shared" si="35"/>
        <v>3</v>
      </c>
      <c r="AG75" s="42">
        <f t="shared" si="35"/>
        <v>3</v>
      </c>
      <c r="AH75" s="42">
        <f t="shared" si="35"/>
        <v>3</v>
      </c>
      <c r="AI75" s="42" t="str">
        <f t="shared" si="35"/>
        <v/>
      </c>
      <c r="AJ75" s="42" t="str">
        <f t="shared" si="35"/>
        <v/>
      </c>
      <c r="AK75" s="42" t="str">
        <f t="shared" si="35"/>
        <v/>
      </c>
      <c r="AL75" s="42" t="str">
        <f t="shared" si="35"/>
        <v/>
      </c>
      <c r="AM75" s="42" t="str">
        <f t="shared" si="35"/>
        <v/>
      </c>
    </row>
  </sheetData>
  <mergeCells count="13">
    <mergeCell ref="B5:B6"/>
    <mergeCell ref="B11:B12"/>
    <mergeCell ref="B17:B18"/>
    <mergeCell ref="B23:B24"/>
    <mergeCell ref="AH1:AM1"/>
    <mergeCell ref="B59:B60"/>
    <mergeCell ref="B65:B66"/>
    <mergeCell ref="B71:B72"/>
    <mergeCell ref="B29:B30"/>
    <mergeCell ref="B35:B36"/>
    <mergeCell ref="B41:B42"/>
    <mergeCell ref="B47:B48"/>
    <mergeCell ref="B53:B54"/>
  </mergeCells>
  <conditionalFormatting sqref="C5:AM5 C11:AM11 C17:AM17 C23:AM23 C29:AM29 C35:AM35 C41:AM41 C47:AM47 C53:AM53 C59:AM59 C65:AM65 C71:AM71">
    <cfRule type="expression" dxfId="5" priority="6">
      <formula>NOT(ISNUMBER(C5))</formula>
    </cfRule>
  </conditionalFormatting>
  <conditionalFormatting sqref="C6:AM6 C12:AM12 C18:AM18 C24:AM24 C30:AM30 C36:AM36 C42:AM42 C48:AM48 C54:AM54 C60:AM60 C66:AM66 C72:AM72">
    <cfRule type="expression" dxfId="4" priority="1" stopIfTrue="1">
      <formula>NOT(ISNUMBER(C5))</formula>
    </cfRule>
    <cfRule type="expression" dxfId="3" priority="5">
      <formula>OR(COUNTIF(C7:C9,1)&gt;1,COUNTIF(C7:C9,2)&gt;1,COUNTIF(C7:C9,3)&gt;1)</formula>
    </cfRule>
  </conditionalFormatting>
  <conditionalFormatting sqref="C7:AM9 C13:AM15 C19:AM21 C25:AM27 C31:AM33 C37:AM39 C43:AM45 C49:AM51 C55:AM57 C61:AM63 C67:AM69 C73:AM75">
    <cfRule type="cellIs" dxfId="2" priority="2" stopIfTrue="1" operator="equal">
      <formula>1</formula>
    </cfRule>
    <cfRule type="cellIs" dxfId="1" priority="3" stopIfTrue="1" operator="equal">
      <formula>2</formula>
    </cfRule>
    <cfRule type="cellIs" dxfId="0" priority="4" operator="equal">
      <formula>3</formula>
    </cfRule>
  </conditionalFormatting>
  <dataValidations count="2">
    <dataValidation allowBlank="1" showInputMessage="1" showErrorMessage="1" promptTitle="Calendario de trabajo por turno" prompt="Cambia el año con los botones de flecha._x000a__x000a_El Calendario muestra la programación de turnos diarios (hasta 3 trabajos). Edita el patrón/datos del trabajo/turno en la pestaña Trabajos y turnos. _x000a__x000a_Los días en rojo indican conflicto." sqref="A1" xr:uid="{00000000-0002-0000-0000-000000000000}"/>
    <dataValidation allowBlank="1" showInputMessage="1" showErrorMessage="1" prompt="Utiliza los botones de flecha para cambiar rápidamente el año natural" sqref="AH1" xr:uid="{00000000-0002-0000-0000-000001000000}"/>
  </dataValidations>
  <printOptions horizontalCentered="1" verticalCentered="1"/>
  <pageMargins left="0.3" right="0.3" top="0.3" bottom="0.3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Indicador giratorio">
              <controlPr defaultSize="0" print="0" autoPict="0" altText="Utiliza los botones de flecha para cambiar de año calendario o para cambiar el año en la celda AE3">
                <anchor moveWithCells="1">
                  <from>
                    <xdr:col>33</xdr:col>
                    <xdr:colOff>60960</xdr:colOff>
                    <xdr:row>0</xdr:row>
                    <xdr:rowOff>312420</xdr:rowOff>
                  </from>
                  <to>
                    <xdr:col>33</xdr:col>
                    <xdr:colOff>213360</xdr:colOff>
                    <xdr:row>0</xdr:row>
                    <xdr:rowOff>617220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2"/>
  <sheetViews>
    <sheetView showGridLines="0" workbookViewId="0"/>
  </sheetViews>
  <sheetFormatPr baseColWidth="10" defaultColWidth="0" defaultRowHeight="21" customHeight="1" x14ac:dyDescent="0.35"/>
  <cols>
    <col min="1" max="1" width="1.81640625" style="6" customWidth="1"/>
    <col min="2" max="2" width="12" style="7" customWidth="1"/>
    <col min="3" max="3" width="12.90625" style="7" bestFit="1" customWidth="1"/>
    <col min="4" max="6" width="30.81640625" style="20" customWidth="1"/>
    <col min="7" max="7" width="1.81640625" style="6" customWidth="1"/>
    <col min="8" max="16384" width="8.90625" style="6" hidden="1"/>
  </cols>
  <sheetData>
    <row r="1" spans="2:7" s="18" customFormat="1" ht="48.75" customHeight="1" x14ac:dyDescent="0.5">
      <c r="B1" s="21" t="s">
        <v>11</v>
      </c>
      <c r="C1" s="22"/>
      <c r="D1" s="23"/>
      <c r="E1" s="23"/>
      <c r="F1" s="23"/>
      <c r="G1" s="18" t="s">
        <v>34</v>
      </c>
    </row>
    <row r="3" spans="2:7" s="40" customFormat="1" ht="30" customHeight="1" x14ac:dyDescent="0.35">
      <c r="B3" s="38"/>
      <c r="C3" s="38"/>
      <c r="D3" s="39" t="s">
        <v>19</v>
      </c>
      <c r="E3" s="39" t="s">
        <v>28</v>
      </c>
      <c r="F3" s="39" t="s">
        <v>30</v>
      </c>
    </row>
    <row r="4" spans="2:7" ht="9" customHeight="1" x14ac:dyDescent="0.35"/>
    <row r="5" spans="2:7" ht="30" customHeight="1" x14ac:dyDescent="0.35">
      <c r="B5" s="54" t="s">
        <v>12</v>
      </c>
      <c r="C5" s="54"/>
      <c r="D5" s="27" t="s">
        <v>19</v>
      </c>
      <c r="E5" s="28" t="s">
        <v>28</v>
      </c>
      <c r="F5" s="28" t="s">
        <v>30</v>
      </c>
    </row>
    <row r="6" spans="2:7" ht="9" customHeight="1" x14ac:dyDescent="0.35"/>
    <row r="7" spans="2:7" ht="21" customHeight="1" x14ac:dyDescent="0.35">
      <c r="B7" s="60" t="s">
        <v>7</v>
      </c>
      <c r="C7" s="32" t="s">
        <v>16</v>
      </c>
      <c r="D7" s="29" t="s">
        <v>20</v>
      </c>
      <c r="E7" s="29" t="s">
        <v>20</v>
      </c>
      <c r="F7" s="29"/>
    </row>
    <row r="8" spans="2:7" ht="21" customHeight="1" x14ac:dyDescent="0.35">
      <c r="B8" s="61"/>
      <c r="C8" s="24" t="s">
        <v>17</v>
      </c>
      <c r="D8" s="29" t="s">
        <v>21</v>
      </c>
      <c r="E8" s="29" t="s">
        <v>21</v>
      </c>
      <c r="F8" s="29"/>
    </row>
    <row r="9" spans="2:7" ht="21" customHeight="1" x14ac:dyDescent="0.35">
      <c r="B9" s="62"/>
      <c r="C9" s="33" t="s">
        <v>18</v>
      </c>
      <c r="D9" s="29" t="s">
        <v>22</v>
      </c>
      <c r="E9" s="29" t="s">
        <v>22</v>
      </c>
      <c r="F9" s="29"/>
    </row>
    <row r="10" spans="2:7" ht="9" customHeight="1" x14ac:dyDescent="0.35"/>
    <row r="11" spans="2:7" ht="21" customHeight="1" x14ac:dyDescent="0.35">
      <c r="B11" s="63" t="s">
        <v>8</v>
      </c>
      <c r="C11" s="30" t="s">
        <v>16</v>
      </c>
      <c r="D11" s="34" t="s">
        <v>23</v>
      </c>
      <c r="E11" s="34" t="s">
        <v>23</v>
      </c>
      <c r="F11" s="34"/>
    </row>
    <row r="12" spans="2:7" ht="21" customHeight="1" x14ac:dyDescent="0.35">
      <c r="B12" s="64"/>
      <c r="C12" s="25" t="s">
        <v>17</v>
      </c>
      <c r="D12" s="34" t="s">
        <v>24</v>
      </c>
      <c r="E12" s="34" t="s">
        <v>24</v>
      </c>
      <c r="F12" s="34"/>
    </row>
    <row r="13" spans="2:7" ht="21" customHeight="1" x14ac:dyDescent="0.35">
      <c r="B13" s="65"/>
      <c r="C13" s="31" t="s">
        <v>18</v>
      </c>
      <c r="D13" s="34" t="s">
        <v>25</v>
      </c>
      <c r="E13" s="34" t="s">
        <v>25</v>
      </c>
      <c r="F13" s="34"/>
    </row>
    <row r="14" spans="2:7" ht="9" customHeight="1" x14ac:dyDescent="0.35"/>
    <row r="15" spans="2:7" ht="21" customHeight="1" x14ac:dyDescent="0.35">
      <c r="B15" s="51" t="s">
        <v>10</v>
      </c>
      <c r="C15" s="35" t="s">
        <v>16</v>
      </c>
      <c r="D15" s="37"/>
      <c r="E15" s="37"/>
      <c r="F15" s="37" t="s">
        <v>31</v>
      </c>
    </row>
    <row r="16" spans="2:7" ht="21" customHeight="1" x14ac:dyDescent="0.35">
      <c r="B16" s="52"/>
      <c r="C16" s="26" t="s">
        <v>17</v>
      </c>
      <c r="D16" s="37"/>
      <c r="E16" s="37"/>
      <c r="F16" s="37" t="s">
        <v>32</v>
      </c>
    </row>
    <row r="17" spans="2:6" ht="21" customHeight="1" x14ac:dyDescent="0.35">
      <c r="B17" s="53"/>
      <c r="C17" s="36" t="s">
        <v>18</v>
      </c>
      <c r="D17" s="37"/>
      <c r="E17" s="37"/>
      <c r="F17" s="37" t="s">
        <v>33</v>
      </c>
    </row>
    <row r="18" spans="2:6" ht="9" customHeight="1" x14ac:dyDescent="0.35"/>
    <row r="19" spans="2:6" ht="30" customHeight="1" x14ac:dyDescent="0.35">
      <c r="B19" s="59" t="s">
        <v>13</v>
      </c>
      <c r="C19" s="54"/>
      <c r="D19" s="27" t="s">
        <v>26</v>
      </c>
      <c r="E19" s="28" t="s">
        <v>26</v>
      </c>
      <c r="F19" s="28" t="s">
        <v>26</v>
      </c>
    </row>
    <row r="20" spans="2:6" ht="9" customHeight="1" x14ac:dyDescent="0.35"/>
    <row r="21" spans="2:6" ht="30" customHeight="1" x14ac:dyDescent="0.35">
      <c r="B21" s="55" t="s">
        <v>14</v>
      </c>
      <c r="C21" s="56"/>
      <c r="D21" s="46">
        <f>DATE(AñoCalendario,1,5)</f>
        <v>44201</v>
      </c>
      <c r="E21" s="47">
        <f>DATE(AñoCalendario,1,15)</f>
        <v>44211</v>
      </c>
      <c r="F21" s="47">
        <f>DATE(AñoCalendario,1,19)</f>
        <v>44215</v>
      </c>
    </row>
    <row r="22" spans="2:6" ht="30" customHeight="1" x14ac:dyDescent="0.35">
      <c r="B22" s="57" t="s">
        <v>15</v>
      </c>
      <c r="C22" s="58"/>
      <c r="D22" s="27" t="s">
        <v>27</v>
      </c>
      <c r="E22" s="28" t="s">
        <v>29</v>
      </c>
      <c r="F22" s="27" t="s">
        <v>35</v>
      </c>
    </row>
  </sheetData>
  <mergeCells count="7">
    <mergeCell ref="B15:B17"/>
    <mergeCell ref="B5:C5"/>
    <mergeCell ref="B21:C21"/>
    <mergeCell ref="B22:C22"/>
    <mergeCell ref="B19:C19"/>
    <mergeCell ref="B7:B9"/>
    <mergeCell ref="B11:B13"/>
  </mergeCells>
  <dataValidations count="9">
    <dataValidation allowBlank="1" showInputMessage="1" showErrorMessage="1" prompt="Edita aquí los datos de: _x000a_-Descripción de trabajo_x000a_- para cada turno_x000a_o patrón de turnos y la fecha de inicio_x000a__x000a_Si hay conflicto de turnos se muestra en rojo el día de la semana en la pestaña Calendario de trabajo por turnos." sqref="A1" xr:uid="{00000000-0002-0000-0100-000000000000}"/>
    <dataValidation allowBlank="1" showInputMessage="1" showErrorMessage="1" prompt="En esta fila, escribe una descripción para cada Trabajo" sqref="B5:C5" xr:uid="{00000000-0002-0000-0100-000001000000}"/>
    <dataValidation allowBlank="1" showInputMessage="1" showErrorMessage="1" prompt="En estas filas, escribe los datos del Turno 1 para cada Trabajo." sqref="B7:B9" xr:uid="{00000000-0002-0000-0100-000002000000}"/>
    <dataValidation allowBlank="1" showInputMessage="1" showErrorMessage="1" prompt="En estas filas, escribe los datos del Turno 2 para cada Trabajo." sqref="B11:B13" xr:uid="{00000000-0002-0000-0100-000003000000}"/>
    <dataValidation allowBlank="1" showInputMessage="1" showErrorMessage="1" prompt="En estas filas, escribe los datos del Turno 3 para cada Trabajo." sqref="B15:B17" xr:uid="{00000000-0002-0000-0100-000004000000}"/>
    <dataValidation allowBlank="1" showInputMessage="1" showErrorMessage="1" prompt="Establece el patrón de turnos mediante las letras de código de los diferentes turnos" sqref="D22 E22 F22" xr:uid="{00000000-0002-0000-0100-000005000000}"/>
    <dataValidation allowBlank="1" showInputMessage="1" showErrorMessage="1" prompt="En esta fila, escribe el patrón de turnos mediante las letras de código de los diferentes turnos" sqref="B22:C22" xr:uid="{00000000-0002-0000-0100-000006000000}"/>
    <dataValidation allowBlank="1" showInputMessage="1" showErrorMessage="1" prompt="En esta fila, escribe la Fecha de inicio del patrón de turnos para cada Trabajo" sqref="B21:C21" xr:uid="{00000000-0002-0000-0100-000007000000}"/>
    <dataValidation allowBlank="1" showInputMessage="1" showErrorMessage="1" prompt="Asegúrate de utilizar una sola letra como código de turno" sqref="D8 D12 D16 E16 E12 E8 F8 F12 F16" xr:uid="{00000000-0002-0000-0100-000008000000}"/>
  </dataValidations>
  <printOptions horizontalCentered="1" verticalCentered="1"/>
  <pageMargins left="0.3" right="0.3" top="0.3" bottom="0.3" header="0.3" footer="0.3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3DD5992-68AE-4B29-AEFE-7AC47D40B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4082A6-59E9-47FE-A802-4274C5438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8A6C93-A69C-4202-9E10-B2DDF75C0D1E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TM89105255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22</vt:i4>
      </vt:variant>
    </vt:vector>
  </HeadingPairs>
  <TitlesOfParts>
    <vt:vector size="24" baseType="lpstr">
      <vt:lpstr>Calendario de trabajo por turno</vt:lpstr>
      <vt:lpstr>Trabajos y turnos</vt:lpstr>
      <vt:lpstr>AñoCalendario</vt:lpstr>
      <vt:lpstr>Trabajo1_Código_DíaLibre</vt:lpstr>
      <vt:lpstr>Trabajo1_DíaInicio</vt:lpstr>
      <vt:lpstr>Trabajo1_Nombre</vt:lpstr>
      <vt:lpstr>Trabajo1_Patrón</vt:lpstr>
      <vt:lpstr>Trabajo1_Turno1_Código</vt:lpstr>
      <vt:lpstr>Trabajo1_Turno2_Código</vt:lpstr>
      <vt:lpstr>Trabajo1_Turno3_Código</vt:lpstr>
      <vt:lpstr>Trabajo2_Código_DíaLibre</vt:lpstr>
      <vt:lpstr>Trabajo2_DíaInicio</vt:lpstr>
      <vt:lpstr>Trabajo2_Nombre</vt:lpstr>
      <vt:lpstr>Trabajo2_Patrón</vt:lpstr>
      <vt:lpstr>Trabajo2_Turno1_Código</vt:lpstr>
      <vt:lpstr>Trabajo2_Turno2_Código</vt:lpstr>
      <vt:lpstr>Trabajo2_Turno3_Código</vt:lpstr>
      <vt:lpstr>Trabajo3_Código_DíaLibre</vt:lpstr>
      <vt:lpstr>Trabajo3_DíaInicio</vt:lpstr>
      <vt:lpstr>Trabajo3_Nombre</vt:lpstr>
      <vt:lpstr>Trabajo3_Patrón</vt:lpstr>
      <vt:lpstr>Trabajo3_Turno1_Código</vt:lpstr>
      <vt:lpstr>Trabajo3_Turno2_Código</vt:lpstr>
      <vt:lpstr>Trabajo3_Turno3_Código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2020-10-06T19:45:38Z</dcterms:created>
  <dcterms:modified xsi:type="dcterms:W3CDTF">2023-11-15T18:24:12Z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